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t Weatherhead\Desktop\"/>
    </mc:Choice>
  </mc:AlternateContent>
  <bookViews>
    <workbookView xWindow="4560" yWindow="1605" windowWidth="21435" windowHeight="7935" activeTab="1"/>
  </bookViews>
  <sheets>
    <sheet name="Risk worksheet" sheetId="2" r:id="rId1"/>
    <sheet name="Loan Analysis" sheetId="3" r:id="rId2"/>
    <sheet name="Portfolio Report" sheetId="4" r:id="rId3"/>
    <sheet name="Matrix" sheetId="1" r:id="rId4"/>
  </sheets>
  <calcPr calcId="152511"/>
</workbook>
</file>

<file path=xl/calcChain.xml><?xml version="1.0" encoding="utf-8"?>
<calcChain xmlns="http://schemas.openxmlformats.org/spreadsheetml/2006/main">
  <c r="Z62" i="4" l="1"/>
  <c r="Z65" i="4" l="1"/>
  <c r="AA62" i="4"/>
  <c r="AB62" i="4"/>
  <c r="Z8" i="4"/>
  <c r="AA8" i="4"/>
  <c r="A8" i="4"/>
  <c r="M8" i="4"/>
  <c r="V8" i="4"/>
  <c r="V9" i="4"/>
  <c r="V10" i="4"/>
  <c r="Z9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V11" i="4"/>
  <c r="Z10" i="4"/>
  <c r="V12" i="4"/>
  <c r="Z11" i="4"/>
  <c r="V13" i="4"/>
  <c r="Z12" i="4"/>
  <c r="V14" i="4"/>
  <c r="Z13" i="4"/>
  <c r="V15" i="4"/>
  <c r="Z14" i="4"/>
  <c r="V16" i="4"/>
  <c r="D15" i="4"/>
  <c r="Z15" i="4"/>
  <c r="V17" i="4"/>
  <c r="Z16" i="4"/>
  <c r="D16" i="4"/>
  <c r="V18" i="4"/>
  <c r="Z17" i="4"/>
  <c r="Z18" i="4"/>
  <c r="D17" i="4"/>
  <c r="V19" i="4"/>
  <c r="D18" i="4"/>
  <c r="B8" i="3"/>
  <c r="V20" i="4"/>
  <c r="B10" i="3" l="1"/>
  <c r="A10" i="3"/>
  <c r="B9" i="3"/>
  <c r="Z53" i="4"/>
  <c r="Z36" i="4"/>
  <c r="Z32" i="4"/>
  <c r="Z31" i="4"/>
  <c r="Z29" i="4"/>
  <c r="Z30" i="4"/>
  <c r="Z28" i="4"/>
  <c r="Z27" i="4"/>
  <c r="Z26" i="4"/>
  <c r="Z25" i="4"/>
  <c r="Z24" i="4"/>
  <c r="Z22" i="4"/>
  <c r="Z23" i="4"/>
  <c r="Z20" i="4"/>
  <c r="Z21" i="4"/>
  <c r="Z19" i="4"/>
  <c r="A20" i="4"/>
  <c r="K62" i="4"/>
  <c r="M68" i="4"/>
  <c r="M69" i="4"/>
  <c r="M70" i="4"/>
  <c r="M71" i="4"/>
  <c r="M72" i="4"/>
  <c r="M73" i="4"/>
  <c r="M74" i="4"/>
  <c r="M75" i="4"/>
  <c r="M67" i="4"/>
  <c r="T54" i="4"/>
  <c r="V54" i="4" s="1"/>
  <c r="T53" i="4"/>
  <c r="V53" i="4" s="1"/>
  <c r="M27" i="4"/>
  <c r="M62" i="4" s="1"/>
  <c r="M28" i="4"/>
  <c r="M29" i="4"/>
  <c r="M30" i="4"/>
  <c r="M31" i="4"/>
  <c r="M32" i="4"/>
  <c r="M36" i="4"/>
  <c r="M37" i="4"/>
  <c r="M39" i="4"/>
  <c r="M40" i="4"/>
  <c r="M41" i="4"/>
  <c r="M42" i="4"/>
  <c r="M43" i="4"/>
  <c r="M44" i="4"/>
  <c r="M45" i="4"/>
  <c r="M49" i="4"/>
  <c r="M50" i="4"/>
  <c r="F62" i="4"/>
  <c r="G62" i="4"/>
  <c r="H62" i="4"/>
  <c r="I62" i="4"/>
  <c r="J62" i="4"/>
  <c r="L62" i="4"/>
  <c r="N62" i="4"/>
  <c r="N64" i="4" s="1"/>
  <c r="T50" i="4"/>
  <c r="V50" i="4" s="1"/>
  <c r="T49" i="4"/>
  <c r="V49" i="4" s="1"/>
  <c r="T37" i="4"/>
  <c r="V37" i="4" s="1"/>
  <c r="T36" i="4"/>
  <c r="T21" i="4"/>
  <c r="V21" i="4" s="1"/>
  <c r="O62" i="4"/>
  <c r="P62" i="4"/>
  <c r="N65" i="4" s="1"/>
  <c r="R62" i="4"/>
  <c r="R64" i="4" s="1"/>
  <c r="S62" i="4"/>
  <c r="T22" i="4"/>
  <c r="V22" i="4" s="1"/>
  <c r="F6" i="3"/>
  <c r="E8" i="3"/>
  <c r="B7" i="3"/>
  <c r="B6" i="3"/>
  <c r="I43" i="2"/>
  <c r="T31" i="4"/>
  <c r="V31" i="4"/>
  <c r="T26" i="4"/>
  <c r="V26" i="4"/>
  <c r="T25" i="4"/>
  <c r="V25" i="4"/>
  <c r="T28" i="4"/>
  <c r="V28" i="4"/>
  <c r="T29" i="4"/>
  <c r="V29" i="4"/>
  <c r="T30" i="4"/>
  <c r="V30" i="4"/>
  <c r="T32" i="4"/>
  <c r="V32" i="4"/>
  <c r="T24" i="4"/>
  <c r="V24" i="4"/>
  <c r="T27" i="4"/>
  <c r="V27" i="4"/>
  <c r="T23" i="4"/>
  <c r="V23" i="4"/>
  <c r="P5" i="4"/>
  <c r="M5" i="4"/>
  <c r="D9" i="1"/>
  <c r="E9" i="1" s="1"/>
  <c r="D8" i="1"/>
  <c r="D7" i="1"/>
  <c r="F7" i="1" s="1"/>
  <c r="D6" i="1"/>
  <c r="E6" i="1" s="1"/>
  <c r="D5" i="1"/>
  <c r="E7" i="1"/>
  <c r="K11" i="3"/>
  <c r="K6" i="3"/>
  <c r="I11" i="3"/>
  <c r="I6" i="3" s="1"/>
  <c r="J11" i="3"/>
  <c r="J6" i="3"/>
  <c r="G11" i="3"/>
  <c r="G8" i="3" s="1"/>
  <c r="F11" i="3"/>
  <c r="E11" i="3"/>
  <c r="H11" i="3"/>
  <c r="H10" i="3" s="1"/>
  <c r="B11" i="3"/>
  <c r="F8" i="1"/>
  <c r="E5" i="1"/>
  <c r="E8" i="1"/>
  <c r="F5" i="1"/>
  <c r="J51" i="2"/>
  <c r="Q17" i="1" s="1"/>
  <c r="H6" i="3"/>
  <c r="T62" i="4" l="1"/>
  <c r="R65" i="4" s="1"/>
  <c r="T65" i="4" s="1"/>
  <c r="F7" i="3"/>
  <c r="V36" i="4"/>
  <c r="V62" i="4" s="1"/>
  <c r="V63" i="4" s="1"/>
  <c r="A19" i="4"/>
  <c r="A18" i="4" s="1"/>
  <c r="A17" i="4" s="1"/>
  <c r="A16" i="4" s="1"/>
  <c r="A15" i="4" s="1"/>
  <c r="A14" i="4" s="1"/>
  <c r="A13" i="4" s="1"/>
  <c r="A12" i="4" s="1"/>
  <c r="A11" i="4" s="1"/>
  <c r="A10" i="4" s="1"/>
  <c r="T64" i="4"/>
  <c r="D6" i="3"/>
  <c r="C7" i="3"/>
  <c r="H8" i="3"/>
  <c r="H9" i="3"/>
  <c r="H7" i="3"/>
  <c r="L11" i="3"/>
  <c r="Q20" i="1"/>
  <c r="Q19" i="1"/>
  <c r="Q18" i="1"/>
  <c r="Q22" i="1"/>
  <c r="Q21" i="1"/>
  <c r="F9" i="1"/>
  <c r="F6" i="1"/>
  <c r="A9" i="4" l="1"/>
  <c r="I23" i="1"/>
  <c r="Q30" i="1" l="1"/>
  <c r="Q33" i="1"/>
  <c r="R33" i="1"/>
  <c r="Q29" i="1"/>
  <c r="R31" i="1"/>
  <c r="R32" i="1"/>
  <c r="P30" i="1"/>
  <c r="Q31" i="1"/>
  <c r="Q32" i="1"/>
  <c r="P31" i="1"/>
  <c r="R30" i="1"/>
  <c r="P33" i="1"/>
  <c r="P32" i="1"/>
  <c r="P29" i="1"/>
  <c r="R29" i="1"/>
  <c r="P34" i="1" l="1"/>
  <c r="M9" i="3" s="1"/>
  <c r="N9" i="3" s="1"/>
  <c r="Q34" i="1"/>
  <c r="R34" i="1"/>
  <c r="M10" i="3" l="1"/>
  <c r="N10" i="3" s="1"/>
  <c r="M11" i="3" l="1"/>
  <c r="N11" i="3" s="1"/>
</calcChain>
</file>

<file path=xl/sharedStrings.xml><?xml version="1.0" encoding="utf-8"?>
<sst xmlns="http://schemas.openxmlformats.org/spreadsheetml/2006/main" count="375" uniqueCount="290">
  <si>
    <t>+.5</t>
  </si>
  <si>
    <t>+ 1</t>
  </si>
  <si>
    <t>+ 1.5</t>
  </si>
  <si>
    <t>+ 2</t>
  </si>
  <si>
    <t>Borrower IR +</t>
  </si>
  <si>
    <t xml:space="preserve">        Reduction in LOF</t>
  </si>
  <si>
    <t>Points totals</t>
  </si>
  <si>
    <t xml:space="preserve">     18 month Minimum at 5%</t>
  </si>
  <si>
    <t xml:space="preserve">   (Points from risk rating page)</t>
  </si>
  <si>
    <t>Rate Up sell</t>
  </si>
  <si>
    <t xml:space="preserve">If Rural Areas Add 20 </t>
  </si>
  <si>
    <t>Judgments</t>
  </si>
  <si>
    <t>Time since Inherited property</t>
  </si>
  <si>
    <t>***subject to change at any time***</t>
  </si>
  <si>
    <t>***Variable fee buydown requires increase PPP to 18 months</t>
  </si>
  <si>
    <t xml:space="preserve">***any combination of Rate and fee change reducing LOF below par will be equated to equal par.  </t>
  </si>
  <si>
    <t>***Variable fee buydown, increase is to initial rate, floor and margin</t>
  </si>
  <si>
    <t>&gt;6months but &lt; 1 year</t>
  </si>
  <si>
    <t>Paid but &lt;=1 year old</t>
  </si>
  <si>
    <t xml:space="preserve">     High</t>
  </si>
  <si>
    <t xml:space="preserve">     1 yr  Minimum at 5%</t>
  </si>
  <si>
    <t>2yr fixed</t>
  </si>
  <si>
    <t>3yr fixed</t>
  </si>
  <si>
    <t>Prime</t>
  </si>
  <si>
    <t>Prime +</t>
  </si>
  <si>
    <t>Retail kicker</t>
  </si>
  <si>
    <t>1 YR Fixed</t>
  </si>
  <si>
    <t>1 and 2 year fixed convert to adjustable (prime+ margin) after fixed period for remainder of term.</t>
  </si>
  <si>
    <t xml:space="preserve">Variable rates adjust monthly.  Reduction in margin available for additional LOF - call for pricing. </t>
  </si>
  <si>
    <t xml:space="preserve">Terms from 1 to 3 years, interst only, call fo 5 year pricing. </t>
  </si>
  <si>
    <t>1 YR Fixed PPP</t>
  </si>
  <si>
    <t>Mainsail loan origination Fee (LOF)</t>
  </si>
  <si>
    <t>Mainsail  Retail Pricing Sheet</t>
  </si>
  <si>
    <t>Mainsail Risk Rating</t>
  </si>
  <si>
    <t xml:space="preserve">     1 yr additional PPP =.25 reduction MM LOF  </t>
  </si>
  <si>
    <t xml:space="preserve">     2 yr additional PPP = .5 reduction MM LOF</t>
  </si>
  <si>
    <t xml:space="preserve">     2 yr additional PPP = .50 reduction MM LOF</t>
  </si>
  <si>
    <t>****6 month PPP reduction add .5 to MM LOF (not available on variable rate transactions)</t>
  </si>
  <si>
    <t>Risk</t>
  </si>
  <si>
    <t>Variable</t>
  </si>
  <si>
    <t>index</t>
  </si>
  <si>
    <t>2 YR Fixed</t>
  </si>
  <si>
    <t>&lt; 40</t>
  </si>
  <si>
    <t>41 - 45</t>
  </si>
  <si>
    <t>46 - 50</t>
  </si>
  <si>
    <t>51 - 55</t>
  </si>
  <si>
    <t>X</t>
  </si>
  <si>
    <t xml:space="preserve">Credit Score </t>
  </si>
  <si>
    <t xml:space="preserve"> </t>
  </si>
  <si>
    <t>680+</t>
  </si>
  <si>
    <t>Points</t>
  </si>
  <si>
    <t>No</t>
  </si>
  <si>
    <t>61 - 75</t>
  </si>
  <si>
    <t>Medium</t>
  </si>
  <si>
    <t>Low</t>
  </si>
  <si>
    <t>Non Recourse</t>
  </si>
  <si>
    <t>Bankruptcy/Foreclosure</t>
  </si>
  <si>
    <t>Seller Carry</t>
  </si>
  <si>
    <t>Start-up business</t>
  </si>
  <si>
    <t>Tax Liens</t>
  </si>
  <si>
    <t>Other Risks</t>
  </si>
  <si>
    <t>None</t>
  </si>
  <si>
    <t xml:space="preserve">Property Tax owed  </t>
  </si>
  <si>
    <t>none</t>
  </si>
  <si>
    <t>Paid but &lt;= 1 year old</t>
  </si>
  <si>
    <t>Paid &gt;1 year old</t>
  </si>
  <si>
    <t>&lt;=24% and &gt;=11%</t>
  </si>
  <si>
    <t>Paid but &lt;= 2 year old</t>
  </si>
  <si>
    <t>Mortgage lates</t>
  </si>
  <si>
    <t>60 day</t>
  </si>
  <si>
    <t>30 day</t>
  </si>
  <si>
    <t>&gt; 1 year</t>
  </si>
  <si>
    <t>1 year</t>
  </si>
  <si>
    <t>&gt; 6 months</t>
  </si>
  <si>
    <t>NA</t>
  </si>
  <si>
    <t>&gt; 2 years old</t>
  </si>
  <si>
    <t>Variable Rate</t>
  </si>
  <si>
    <t>Property Tiers</t>
  </si>
  <si>
    <t>Property Types</t>
  </si>
  <si>
    <t>industrial/warehouse, mini-storage</t>
  </si>
  <si>
    <t>Residential condos, flagged hotels/motels,</t>
  </si>
  <si>
    <t>taverns, auto related, heavy industrial</t>
  </si>
  <si>
    <t xml:space="preserve">Non-flagged hotels/motels, B&amp;B's, land, any property </t>
  </si>
  <si>
    <t>leased land, bowling alleys, equestrian facilities, gas</t>
  </si>
  <si>
    <t>stations, agricultural properties, any other special use</t>
  </si>
  <si>
    <t>No income verification</t>
  </si>
  <si>
    <t>640-679</t>
  </si>
  <si>
    <t>600-639</t>
  </si>
  <si>
    <t>550-599</t>
  </si>
  <si>
    <t>550-</t>
  </si>
  <si>
    <t>Property Tier</t>
  </si>
  <si>
    <t xml:space="preserve">Payment </t>
  </si>
  <si>
    <t>Ability</t>
  </si>
  <si>
    <t xml:space="preserve">   unpaid Jgmts</t>
  </si>
  <si>
    <t xml:space="preserve">      2 years</t>
  </si>
  <si>
    <t xml:space="preserve">     in BK/FC</t>
  </si>
  <si>
    <t xml:space="preserve">     90 day</t>
  </si>
  <si>
    <t xml:space="preserve">    &lt; 6 months</t>
  </si>
  <si>
    <t xml:space="preserve">    &lt; 6 months old</t>
  </si>
  <si>
    <t xml:space="preserve">    unpaid Taxes</t>
  </si>
  <si>
    <t xml:space="preserve">    Yes</t>
  </si>
  <si>
    <t>Property &amp; borrower can support property</t>
  </si>
  <si>
    <t>Total Risk Score</t>
  </si>
  <si>
    <t>Enter score in box</t>
  </si>
  <si>
    <r>
      <t xml:space="preserve">Other Risks total (if &gt; 20 only add 20 to final score) </t>
    </r>
    <r>
      <rPr>
        <b/>
        <i/>
        <sz val="10"/>
        <rFont val="Arial"/>
        <family val="2"/>
      </rPr>
      <t>sub total</t>
    </r>
  </si>
  <si>
    <t>1 - 11</t>
  </si>
  <si>
    <t>12 - 25</t>
  </si>
  <si>
    <t>Rating</t>
  </si>
  <si>
    <t xml:space="preserve">     Variable rates have 90 day IG</t>
  </si>
  <si>
    <t xml:space="preserve">     2 yr PPP = .5 reduction in origination fee</t>
  </si>
  <si>
    <t xml:space="preserve">     1 yr PPP =.25 reduction origination fee</t>
  </si>
  <si>
    <t>Variable Rate PPP</t>
  </si>
  <si>
    <t>2 YR Fixed PPP</t>
  </si>
  <si>
    <t>Presold House</t>
  </si>
  <si>
    <t>Yes</t>
  </si>
  <si>
    <t xml:space="preserve">Prototype </t>
  </si>
  <si>
    <t xml:space="preserve">Loan </t>
  </si>
  <si>
    <t>a</t>
  </si>
  <si>
    <t>b</t>
  </si>
  <si>
    <t>c</t>
  </si>
  <si>
    <t>d</t>
  </si>
  <si>
    <t>e</t>
  </si>
  <si>
    <t>f</t>
  </si>
  <si>
    <t>26 - 40</t>
  </si>
  <si>
    <t>41 - 60</t>
  </si>
  <si>
    <t>Pricing Result</t>
  </si>
  <si>
    <t>Point</t>
  </si>
  <si>
    <t>g</t>
  </si>
  <si>
    <t>Rural</t>
  </si>
  <si>
    <t>12 month</t>
  </si>
  <si>
    <t>24 month</t>
  </si>
  <si>
    <t>69 - 75</t>
  </si>
  <si>
    <r>
      <t>LTV %</t>
    </r>
    <r>
      <rPr>
        <b/>
        <sz val="10"/>
        <color indexed="48"/>
        <rFont val="Arial"/>
        <family val="2"/>
      </rPr>
      <t>*</t>
    </r>
  </si>
  <si>
    <r>
      <t>Multi-Family,</t>
    </r>
    <r>
      <rPr>
        <sz val="7"/>
        <color indexed="48"/>
        <rFont val="Arial"/>
        <family val="2"/>
      </rPr>
      <t xml:space="preserve"> Single Family Rental</t>
    </r>
    <r>
      <rPr>
        <sz val="7"/>
        <rFont val="Arial"/>
        <family val="2"/>
      </rPr>
      <t>, Office, retail, mixed use, general purpose</t>
    </r>
  </si>
  <si>
    <t xml:space="preserve">If Ground up construction add 15 </t>
  </si>
  <si>
    <t>NET</t>
  </si>
  <si>
    <t>Test Analysis</t>
  </si>
  <si>
    <t>Credit</t>
  </si>
  <si>
    <t>Property Type</t>
  </si>
  <si>
    <t>LTV/Type</t>
  </si>
  <si>
    <t>Construction</t>
  </si>
  <si>
    <t>Ability to Pay</t>
  </si>
  <si>
    <t>Pre-Sale</t>
  </si>
  <si>
    <t>Rate</t>
  </si>
  <si>
    <t>Total Point</t>
  </si>
  <si>
    <t>Closing  Points</t>
  </si>
  <si>
    <t>Spec SF</t>
  </si>
  <si>
    <t>NOTE</t>
  </si>
  <si>
    <t>ADDRESS</t>
  </si>
  <si>
    <t>7354 Bowden road</t>
  </si>
  <si>
    <t>0 BUCANNEER E JAX</t>
  </si>
  <si>
    <t>12157 Grasse Street JAX</t>
  </si>
  <si>
    <t>116 LAUREL COURT PONTE VEDRA</t>
  </si>
  <si>
    <t>623 DESMOINES COURT POINCIANA, FL 34759</t>
  </si>
  <si>
    <t>619 DESMOINES COURT POINCIANA, FL 34759</t>
  </si>
  <si>
    <t>615 DESMOINES COURT POINCIANA, FL 34759</t>
  </si>
  <si>
    <t>2024 WATERWAY ISLAND LANE JAX BEACH, FL 32250</t>
  </si>
  <si>
    <t>3186 HORN COURT JAX BEACH, FL 32250</t>
  </si>
  <si>
    <t>LTV/P</t>
  </si>
  <si>
    <t>LTV/NP</t>
  </si>
  <si>
    <t>Actual Points</t>
  </si>
  <si>
    <t>Actual Rate</t>
  </si>
  <si>
    <t>Actual Total Rate</t>
  </si>
  <si>
    <t>3133 MAPLE RUN KISSIMMEE</t>
  </si>
  <si>
    <t>AVG</t>
  </si>
  <si>
    <t>Reserve Rate</t>
  </si>
  <si>
    <t>N#1 Bad Credit, cant pay</t>
  </si>
  <si>
    <t>N#1 Average, lean history</t>
  </si>
  <si>
    <t>N#1 ideal</t>
  </si>
  <si>
    <t>Observation: 9 point difference same rates</t>
  </si>
  <si>
    <t>26-40</t>
  </si>
  <si>
    <t>41-60</t>
  </si>
  <si>
    <t>60-UP</t>
  </si>
  <si>
    <t>N#3 Ground up average</t>
  </si>
  <si>
    <t>N#3 ideal already there</t>
  </si>
  <si>
    <t>N#3 good New, with liens</t>
  </si>
  <si>
    <t>N#4 perfect</t>
  </si>
  <si>
    <t>N#4 Rural</t>
  </si>
  <si>
    <t>N#2 Rural</t>
  </si>
  <si>
    <t>***</t>
  </si>
  <si>
    <t>Interest rate Ranges</t>
  </si>
  <si>
    <t>25-down</t>
  </si>
  <si>
    <t>IGNOR OVER TWO YEARS OLD</t>
  </si>
  <si>
    <t>commercial condos, convenience store (FLAG),Assisted Living</t>
  </si>
  <si>
    <t>RV parks, restaurants, non-flagged convenience stores</t>
  </si>
  <si>
    <t>56 - 65</t>
  </si>
  <si>
    <t>66 - 69</t>
  </si>
  <si>
    <t>Borrower</t>
  </si>
  <si>
    <t>Closing Costs</t>
  </si>
  <si>
    <t>Interest</t>
  </si>
  <si>
    <t>YES</t>
  </si>
  <si>
    <t>Collateral</t>
  </si>
  <si>
    <t>Actual</t>
  </si>
  <si>
    <t>LTV</t>
  </si>
  <si>
    <t>Type/ Net LTV</t>
  </si>
  <si>
    <t>Fico</t>
  </si>
  <si>
    <t>Risk Factors</t>
  </si>
  <si>
    <t>Ground Up</t>
  </si>
  <si>
    <t>Presold</t>
  </si>
  <si>
    <t>Overall Rating</t>
  </si>
  <si>
    <t>Cashflow</t>
  </si>
  <si>
    <t>Loan no IP</t>
  </si>
  <si>
    <t>Ground UP</t>
  </si>
  <si>
    <t>cash flow</t>
  </si>
  <si>
    <t>FICO</t>
  </si>
  <si>
    <t>Formula matrix</t>
  </si>
  <si>
    <t>Risky</t>
  </si>
  <si>
    <t>Bad</t>
  </si>
  <si>
    <t>Fair</t>
  </si>
  <si>
    <t>Good</t>
  </si>
  <si>
    <t>Perfect</t>
  </si>
  <si>
    <t>Reserve Gained</t>
  </si>
  <si>
    <t>Internal Pricing</t>
  </si>
  <si>
    <t>Total</t>
  </si>
  <si>
    <t>Score</t>
  </si>
  <si>
    <t>Term</t>
  </si>
  <si>
    <t>INPUTS</t>
  </si>
  <si>
    <t>.</t>
  </si>
  <si>
    <t>Actual rate</t>
  </si>
  <si>
    <t>expected rate</t>
  </si>
  <si>
    <t>rate+points</t>
  </si>
  <si>
    <t>sold</t>
  </si>
  <si>
    <t>SOLD/ PAYEDOFF</t>
  </si>
  <si>
    <t>Cash Reserve</t>
  </si>
  <si>
    <t>Loan Amount</t>
  </si>
  <si>
    <t>TOTAL</t>
  </si>
  <si>
    <t>* Net of interest and points</t>
  </si>
  <si>
    <r>
      <t xml:space="preserve">Single Family, Rental Condos, </t>
    </r>
    <r>
      <rPr>
        <sz val="7"/>
        <rFont val="Arial"/>
        <family val="2"/>
      </rPr>
      <t>Light industrial, manufactured home parks, SFR's Z/C</t>
    </r>
  </si>
  <si>
    <r>
      <rPr>
        <sz val="10"/>
        <color indexed="30"/>
        <rFont val="Arial"/>
        <family val="2"/>
      </rPr>
      <t>*</t>
    </r>
    <r>
      <rPr>
        <sz val="10"/>
        <rFont val="Arial"/>
        <family val="2"/>
      </rPr>
      <t>L</t>
    </r>
    <r>
      <rPr>
        <sz val="10"/>
        <rFont val="Arial"/>
        <family val="2"/>
      </rPr>
      <t>oan Without Interest and Points</t>
    </r>
  </si>
  <si>
    <t>5344 5th avenue Callahan</t>
  </si>
  <si>
    <t>0 Schumacher Ave</t>
  </si>
  <si>
    <t>516 meldrum Lane</t>
  </si>
  <si>
    <t>Payed</t>
  </si>
  <si>
    <t>2269 Rock Dr</t>
  </si>
  <si>
    <t>2239 Rock Dr</t>
  </si>
  <si>
    <t>748 VISCAYA BLVD</t>
  </si>
  <si>
    <t>3764 Plantation Oaks, Lot 1</t>
  </si>
  <si>
    <t>1216 Hudson Harbor Lane</t>
  </si>
  <si>
    <t>1915 Commander Way</t>
  </si>
  <si>
    <t>1909 Commander Way</t>
  </si>
  <si>
    <t>55025 Countree Life Way</t>
  </si>
  <si>
    <t>1210 Hudson Harbor Lane</t>
  </si>
  <si>
    <t>1776 Landward Lane</t>
  </si>
  <si>
    <t>30 Salida Way, Lot 135</t>
  </si>
  <si>
    <t>231 Pescado Dr, Lot 143</t>
  </si>
  <si>
    <t>3756 Plantation Oaks, Lot 3</t>
  </si>
  <si>
    <t>3760 Plantation Oaks</t>
  </si>
  <si>
    <t>6203 Daylilly Rd, Lot 67</t>
  </si>
  <si>
    <t>6191 Daylilly Rd, Lot 66</t>
  </si>
  <si>
    <t>6213 Dayliliy Road, Lot 68</t>
  </si>
  <si>
    <t>6175 Daylilly Rd, Lot 65</t>
  </si>
  <si>
    <t>3808 River Grove Dr</t>
  </si>
  <si>
    <t>2021 Holly Oaks River Dr</t>
  </si>
  <si>
    <t>255 Myra St</t>
  </si>
  <si>
    <t>30097 Island Club Dr, Lot 25</t>
  </si>
  <si>
    <t>132 Espanita Blvd</t>
  </si>
  <si>
    <t>payoffs</t>
  </si>
  <si>
    <t>cant</t>
  </si>
  <si>
    <t>Find</t>
  </si>
  <si>
    <t>58% PRESALE</t>
  </si>
  <si>
    <t>Prperty adress</t>
  </si>
  <si>
    <t>tinkham avenue</t>
  </si>
  <si>
    <t>0 Zinnia Lane E</t>
  </si>
  <si>
    <t>PN</t>
  </si>
  <si>
    <t>sells evey month</t>
  </si>
  <si>
    <t>12 times</t>
  </si>
  <si>
    <t>each time</t>
  </si>
  <si>
    <t>money</t>
  </si>
  <si>
    <t>pay</t>
  </si>
  <si>
    <t>intrest</t>
  </si>
  <si>
    <t>debt fund</t>
  </si>
  <si>
    <t>LTC</t>
  </si>
  <si>
    <t>Total Costs Before Debt</t>
  </si>
  <si>
    <t>TC Before Debt</t>
  </si>
  <si>
    <t>Net Loan = Loan before IP</t>
  </si>
  <si>
    <t>Weigted</t>
  </si>
  <si>
    <t>Unweigted</t>
  </si>
  <si>
    <t>excess reserve</t>
  </si>
  <si>
    <t>3522 HAWTHORN WAY</t>
  </si>
  <si>
    <t>3526 HAWTHORN WAY</t>
  </si>
  <si>
    <t>3536 HAWTHORN WAY</t>
  </si>
  <si>
    <t>3540 HAWTHORN WAY</t>
  </si>
  <si>
    <t>3544 HAWTHORN WAY</t>
  </si>
  <si>
    <t>STAR</t>
  </si>
  <si>
    <t>518 Meldrum Lane</t>
  </si>
  <si>
    <t>530 Meldrum Lane</t>
  </si>
  <si>
    <t>534 Meldrum Lane</t>
  </si>
  <si>
    <t xml:space="preserve">0 Ryar Road </t>
  </si>
  <si>
    <t xml:space="preserve">1419 Ryar Road </t>
  </si>
  <si>
    <t>Franklin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</si>
</sst>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00%"/>
    <numFmt numFmtId="166" formatCode="_(&quot;$&quot;* #,##0_);_(&quot;$&quot;* \(#,##0\);_(&quot;$&quot;* &quot;-&quot;??_);_(@_)"/>
    <numFmt numFmtId="167" formatCode="_(* #,##0_);_(* \(#,##0\);_(* &quot;-&quot;??_);_(@_)"/>
    <numFmt numFmtId="168" formatCode="0.0000%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i/>
      <u/>
      <sz val="12"/>
      <name val="Arial"/>
      <family val="2"/>
    </font>
    <font>
      <b/>
      <u/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7"/>
      <color indexed="48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592"/>
        <bgColor indexed="64"/>
      </patternFill>
    </fill>
    <fill>
      <patternFill patternType="solid">
        <fgColor rgb="FFC0C0C0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6">
    <xf numFmtId="0" fontId="0" fillId="0" borderId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51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13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2" fillId="14" borderId="0" applyNumberFormat="0" applyBorder="0" applyAlignment="0" applyProtection="0"/>
    <xf numFmtId="0" fontId="11" fillId="15" borderId="52" applyNumberFormat="0" applyFont="0" applyAlignment="0" applyProtection="0"/>
    <xf numFmtId="9" fontId="3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37">
    <xf numFmtId="0" fontId="0" fillId="0" borderId="0" xfId="0"/>
    <xf numFmtId="9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0" fontId="6" fillId="0" borderId="0" xfId="0" applyFont="1"/>
    <xf numFmtId="164" fontId="0" fillId="0" borderId="0" xfId="0" applyNumberForma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/>
    <xf numFmtId="0" fontId="0" fillId="2" borderId="1" xfId="0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9" fillId="2" borderId="2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6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0" fillId="2" borderId="7" xfId="0" applyFill="1" applyBorder="1"/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7" fillId="2" borderId="6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7" fillId="4" borderId="1" xfId="0" applyFont="1" applyFill="1" applyBorder="1"/>
    <xf numFmtId="0" fontId="7" fillId="4" borderId="7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0" fillId="3" borderId="8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1" fillId="3" borderId="3" xfId="0" applyFont="1" applyFill="1" applyBorder="1" applyAlignment="1">
      <alignment horizontal="center"/>
    </xf>
    <xf numFmtId="0" fontId="13" fillId="0" borderId="0" xfId="0" applyFont="1"/>
    <xf numFmtId="9" fontId="0" fillId="0" borderId="0" xfId="14" applyFont="1"/>
    <xf numFmtId="0" fontId="11" fillId="3" borderId="10" xfId="0" applyFont="1" applyFill="1" applyBorder="1" applyAlignment="1">
      <alignment horizontal="center"/>
    </xf>
    <xf numFmtId="0" fontId="14" fillId="0" borderId="0" xfId="0" applyFont="1"/>
    <xf numFmtId="0" fontId="12" fillId="3" borderId="5" xfId="0" applyFont="1" applyFill="1" applyBorder="1"/>
    <xf numFmtId="0" fontId="15" fillId="0" borderId="0" xfId="0" applyFont="1" applyAlignment="1">
      <alignment horizontal="center"/>
    </xf>
    <xf numFmtId="0" fontId="16" fillId="0" borderId="0" xfId="0" applyFont="1"/>
    <xf numFmtId="0" fontId="0" fillId="2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0" fontId="0" fillId="3" borderId="0" xfId="0" applyNumberFormat="1" applyFill="1" applyBorder="1"/>
    <xf numFmtId="0" fontId="0" fillId="3" borderId="4" xfId="0" applyFill="1" applyBorder="1" applyAlignment="1">
      <alignment horizontal="center"/>
    </xf>
    <xf numFmtId="10" fontId="0" fillId="3" borderId="5" xfId="0" applyNumberFormat="1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/>
    <xf numFmtId="0" fontId="0" fillId="3" borderId="13" xfId="0" applyFill="1" applyBorder="1" applyAlignment="1">
      <alignment horizontal="center"/>
    </xf>
    <xf numFmtId="10" fontId="0" fillId="3" borderId="0" xfId="0" applyNumberFormat="1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0" fontId="0" fillId="3" borderId="15" xfId="0" applyFill="1" applyBorder="1"/>
    <xf numFmtId="10" fontId="0" fillId="3" borderId="15" xfId="0" applyNumberFormat="1" applyFill="1" applyBorder="1" applyAlignment="1">
      <alignment horizontal="left"/>
    </xf>
    <xf numFmtId="10" fontId="0" fillId="3" borderId="0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/>
    </xf>
    <xf numFmtId="10" fontId="6" fillId="0" borderId="0" xfId="0" applyNumberFormat="1" applyFont="1"/>
    <xf numFmtId="0" fontId="6" fillId="3" borderId="19" xfId="0" applyFont="1" applyFill="1" applyBorder="1"/>
    <xf numFmtId="0" fontId="0" fillId="3" borderId="13" xfId="0" applyFill="1" applyBorder="1"/>
    <xf numFmtId="0" fontId="0" fillId="3" borderId="17" xfId="0" applyFill="1" applyBorder="1" applyAlignment="1">
      <alignment horizontal="center"/>
    </xf>
    <xf numFmtId="0" fontId="0" fillId="3" borderId="14" xfId="0" applyFill="1" applyBorder="1"/>
    <xf numFmtId="0" fontId="0" fillId="3" borderId="15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0" xfId="0" applyFill="1" applyBorder="1"/>
    <xf numFmtId="0" fontId="7" fillId="2" borderId="11" xfId="0" applyFont="1" applyFill="1" applyBorder="1"/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9" fontId="0" fillId="3" borderId="3" xfId="0" applyNumberFormat="1" applyFill="1" applyBorder="1" applyAlignment="1">
      <alignment horizontal="center"/>
    </xf>
    <xf numFmtId="10" fontId="6" fillId="2" borderId="11" xfId="0" applyNumberFormat="1" applyFont="1" applyFill="1" applyBorder="1"/>
    <xf numFmtId="0" fontId="6" fillId="2" borderId="12" xfId="0" applyFont="1" applyFill="1" applyBorder="1"/>
    <xf numFmtId="0" fontId="0" fillId="2" borderId="16" xfId="0" applyFill="1" applyBorder="1"/>
    <xf numFmtId="10" fontId="6" fillId="3" borderId="13" xfId="0" applyNumberFormat="1" applyFont="1" applyFill="1" applyBorder="1"/>
    <xf numFmtId="10" fontId="6" fillId="3" borderId="0" xfId="0" applyNumberFormat="1" applyFont="1" applyFill="1" applyBorder="1"/>
    <xf numFmtId="0" fontId="0" fillId="3" borderId="17" xfId="0" applyFill="1" applyBorder="1"/>
    <xf numFmtId="0" fontId="6" fillId="3" borderId="13" xfId="0" applyFont="1" applyFill="1" applyBorder="1"/>
    <xf numFmtId="0" fontId="6" fillId="3" borderId="0" xfId="0" applyFont="1" applyFill="1" applyBorder="1"/>
    <xf numFmtId="0" fontId="0" fillId="3" borderId="18" xfId="0" applyFill="1" applyBorder="1"/>
    <xf numFmtId="0" fontId="0" fillId="0" borderId="0" xfId="0" applyFill="1" applyBorder="1" applyAlignment="1">
      <alignment horizontal="left"/>
    </xf>
    <xf numFmtId="0" fontId="6" fillId="3" borderId="15" xfId="0" applyFont="1" applyFill="1" applyBorder="1"/>
    <xf numFmtId="0" fontId="6" fillId="5" borderId="0" xfId="0" applyFont="1" applyFill="1" applyBorder="1"/>
    <xf numFmtId="9" fontId="0" fillId="0" borderId="0" xfId="0" applyNumberFormat="1" applyBorder="1"/>
    <xf numFmtId="10" fontId="0" fillId="0" borderId="0" xfId="0" applyNumberFormat="1" applyProtection="1">
      <protection locked="0" hidden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9" fontId="11" fillId="3" borderId="0" xfId="0" applyNumberFormat="1" applyFont="1" applyFill="1" applyBorder="1"/>
    <xf numFmtId="0" fontId="0" fillId="16" borderId="0" xfId="0" applyFill="1" applyBorder="1"/>
    <xf numFmtId="0" fontId="0" fillId="16" borderId="0" xfId="0" applyFill="1" applyBorder="1" applyAlignment="1">
      <alignment horizontal="center"/>
    </xf>
    <xf numFmtId="0" fontId="0" fillId="16" borderId="9" xfId="0" applyFill="1" applyBorder="1"/>
    <xf numFmtId="0" fontId="11" fillId="16" borderId="3" xfId="0" applyFont="1" applyFill="1" applyBorder="1" applyAlignment="1">
      <alignment horizontal="center"/>
    </xf>
    <xf numFmtId="0" fontId="0" fillId="16" borderId="2" xfId="0" applyFill="1" applyBorder="1"/>
    <xf numFmtId="0" fontId="0" fillId="16" borderId="3" xfId="0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0" fillId="17" borderId="0" xfId="0" applyFill="1" applyBorder="1"/>
    <xf numFmtId="0" fontId="7" fillId="18" borderId="0" xfId="0" applyFont="1" applyFill="1" applyBorder="1" applyAlignment="1">
      <alignment horizontal="center"/>
    </xf>
    <xf numFmtId="0" fontId="6" fillId="16" borderId="19" xfId="0" applyFont="1" applyFill="1" applyBorder="1"/>
    <xf numFmtId="0" fontId="0" fillId="16" borderId="13" xfId="0" applyFill="1" applyBorder="1" applyAlignment="1">
      <alignment horizontal="center"/>
    </xf>
    <xf numFmtId="49" fontId="0" fillId="16" borderId="17" xfId="0" applyNumberForma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/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10" fontId="0" fillId="3" borderId="29" xfId="0" applyNumberForma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/>
    <xf numFmtId="10" fontId="0" fillId="3" borderId="31" xfId="0" applyNumberFormat="1" applyFill="1" applyBorder="1" applyAlignment="1">
      <alignment horizontal="left"/>
    </xf>
    <xf numFmtId="10" fontId="0" fillId="3" borderId="31" xfId="0" applyNumberFormat="1" applyFill="1" applyBorder="1" applyAlignment="1">
      <alignment horizontal="center"/>
    </xf>
    <xf numFmtId="10" fontId="0" fillId="3" borderId="32" xfId="0" applyNumberFormat="1" applyFill="1" applyBorder="1" applyAlignment="1">
      <alignment horizontal="center"/>
    </xf>
    <xf numFmtId="0" fontId="0" fillId="16" borderId="30" xfId="0" applyFill="1" applyBorder="1"/>
    <xf numFmtId="0" fontId="0" fillId="16" borderId="31" xfId="0" applyFill="1" applyBorder="1"/>
    <xf numFmtId="0" fontId="0" fillId="16" borderId="32" xfId="0" applyFill="1" applyBorder="1"/>
    <xf numFmtId="0" fontId="0" fillId="19" borderId="28" xfId="0" applyFill="1" applyBorder="1"/>
    <xf numFmtId="0" fontId="0" fillId="19" borderId="0" xfId="0" applyFill="1" applyBorder="1"/>
    <xf numFmtId="0" fontId="0" fillId="19" borderId="29" xfId="0" applyFill="1" applyBorder="1"/>
    <xf numFmtId="0" fontId="7" fillId="20" borderId="25" xfId="0" applyFont="1" applyFill="1" applyBorder="1"/>
    <xf numFmtId="0" fontId="7" fillId="20" borderId="26" xfId="0" applyFont="1" applyFill="1" applyBorder="1"/>
    <xf numFmtId="0" fontId="7" fillId="20" borderId="27" xfId="0" applyFont="1" applyFill="1" applyBorder="1"/>
    <xf numFmtId="0" fontId="17" fillId="0" borderId="0" xfId="0" applyFont="1"/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/>
    <xf numFmtId="0" fontId="0" fillId="0" borderId="2" xfId="0" applyFill="1" applyBorder="1"/>
    <xf numFmtId="0" fontId="0" fillId="17" borderId="13" xfId="0" applyFill="1" applyBorder="1" applyAlignment="1">
      <alignment horizontal="center"/>
    </xf>
    <xf numFmtId="49" fontId="0" fillId="17" borderId="17" xfId="0" applyNumberForma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10" fontId="0" fillId="0" borderId="24" xfId="14" applyNumberFormat="1" applyFont="1" applyBorder="1"/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7" fillId="0" borderId="42" xfId="0" applyFont="1" applyBorder="1" applyAlignment="1">
      <alignment horizontal="center" vertical="center"/>
    </xf>
    <xf numFmtId="10" fontId="7" fillId="0" borderId="43" xfId="0" applyNumberFormat="1" applyFont="1" applyBorder="1"/>
    <xf numFmtId="10" fontId="7" fillId="0" borderId="42" xfId="0" applyNumberFormat="1" applyFont="1" applyBorder="1"/>
    <xf numFmtId="10" fontId="7" fillId="0" borderId="38" xfId="0" applyNumberFormat="1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10" fontId="0" fillId="0" borderId="34" xfId="14" applyNumberFormat="1" applyFont="1" applyBorder="1"/>
    <xf numFmtId="10" fontId="0" fillId="0" borderId="35" xfId="14" applyNumberFormat="1" applyFont="1" applyBorder="1"/>
    <xf numFmtId="10" fontId="0" fillId="0" borderId="36" xfId="14" applyNumberFormat="1" applyFont="1" applyBorder="1"/>
    <xf numFmtId="10" fontId="0" fillId="0" borderId="46" xfId="14" applyNumberFormat="1" applyFont="1" applyBorder="1"/>
    <xf numFmtId="10" fontId="0" fillId="0" borderId="37" xfId="14" applyNumberFormat="1" applyFont="1" applyBorder="1"/>
    <xf numFmtId="0" fontId="21" fillId="21" borderId="36" xfId="0" applyFont="1" applyFill="1" applyBorder="1"/>
    <xf numFmtId="9" fontId="21" fillId="21" borderId="46" xfId="0" applyNumberFormat="1" applyFont="1" applyFill="1" applyBorder="1" applyAlignment="1">
      <alignment horizontal="center"/>
    </xf>
    <xf numFmtId="0" fontId="21" fillId="21" borderId="46" xfId="0" applyFont="1" applyFill="1" applyBorder="1" applyAlignment="1">
      <alignment horizontal="center"/>
    </xf>
    <xf numFmtId="0" fontId="5" fillId="17" borderId="24" xfId="0" applyFont="1" applyFill="1" applyBorder="1"/>
    <xf numFmtId="0" fontId="5" fillId="0" borderId="24" xfId="0" applyFont="1" applyFill="1" applyBorder="1"/>
    <xf numFmtId="166" fontId="5" fillId="0" borderId="24" xfId="9" applyNumberFormat="1" applyFont="1" applyFill="1" applyBorder="1"/>
    <xf numFmtId="167" fontId="5" fillId="0" borderId="24" xfId="8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Border="1"/>
    <xf numFmtId="9" fontId="5" fillId="0" borderId="24" xfId="14" applyFont="1" applyFill="1" applyBorder="1" applyAlignment="1">
      <alignment horizontal="center"/>
    </xf>
    <xf numFmtId="0" fontId="5" fillId="22" borderId="24" xfId="9" applyNumberFormat="1" applyFont="1" applyFill="1" applyBorder="1" applyAlignment="1">
      <alignment horizontal="center"/>
    </xf>
    <xf numFmtId="0" fontId="5" fillId="17" borderId="26" xfId="0" applyFont="1" applyFill="1" applyBorder="1"/>
    <xf numFmtId="0" fontId="21" fillId="17" borderId="26" xfId="0" applyFont="1" applyFill="1" applyBorder="1" applyAlignment="1">
      <alignment horizontal="center"/>
    </xf>
    <xf numFmtId="0" fontId="21" fillId="17" borderId="27" xfId="0" applyFont="1" applyFill="1" applyBorder="1" applyAlignment="1">
      <alignment horizontal="left"/>
    </xf>
    <xf numFmtId="0" fontId="5" fillId="17" borderId="34" xfId="0" applyFont="1" applyFill="1" applyBorder="1"/>
    <xf numFmtId="0" fontId="5" fillId="17" borderId="35" xfId="0" applyFont="1" applyFill="1" applyBorder="1"/>
    <xf numFmtId="0" fontId="5" fillId="0" borderId="34" xfId="0" applyFont="1" applyFill="1" applyBorder="1"/>
    <xf numFmtId="0" fontId="21" fillId="0" borderId="35" xfId="0" applyFont="1" applyBorder="1" applyAlignment="1">
      <alignment horizontal="center"/>
    </xf>
    <xf numFmtId="0" fontId="5" fillId="0" borderId="35" xfId="0" applyFont="1" applyBorder="1"/>
    <xf numFmtId="10" fontId="21" fillId="21" borderId="46" xfId="0" applyNumberFormat="1" applyFont="1" applyFill="1" applyBorder="1" applyAlignment="1">
      <alignment horizontal="center"/>
    </xf>
    <xf numFmtId="10" fontId="21" fillId="21" borderId="24" xfId="14" applyNumberFormat="1" applyFont="1" applyFill="1" applyBorder="1" applyAlignment="1">
      <alignment horizontal="center"/>
    </xf>
    <xf numFmtId="9" fontId="5" fillId="22" borderId="24" xfId="14" applyFont="1" applyFill="1" applyBorder="1" applyAlignment="1">
      <alignment horizontal="center"/>
    </xf>
    <xf numFmtId="0" fontId="0" fillId="0" borderId="47" xfId="9" applyNumberFormat="1" applyFont="1" applyBorder="1" applyAlignment="1">
      <alignment horizontal="center"/>
    </xf>
    <xf numFmtId="0" fontId="0" fillId="0" borderId="23" xfId="9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3" fillId="0" borderId="0" xfId="0" applyFont="1"/>
    <xf numFmtId="0" fontId="0" fillId="0" borderId="5" xfId="0" applyFill="1" applyBorder="1" applyAlignment="1">
      <alignment horizontal="center"/>
    </xf>
    <xf numFmtId="10" fontId="5" fillId="22" borderId="24" xfId="14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5" xfId="0" applyBorder="1"/>
    <xf numFmtId="9" fontId="0" fillId="0" borderId="0" xfId="14" applyFont="1" applyFill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10" fontId="0" fillId="0" borderId="0" xfId="0" applyNumberFormat="1"/>
    <xf numFmtId="9" fontId="0" fillId="0" borderId="0" xfId="0" applyNumberFormat="1" applyFill="1" applyBorder="1" applyAlignment="1">
      <alignment horizontal="center"/>
    </xf>
    <xf numFmtId="10" fontId="28" fillId="7" borderId="0" xfId="2" applyNumberFormat="1"/>
    <xf numFmtId="10" fontId="28" fillId="6" borderId="0" xfId="1" applyNumberFormat="1"/>
    <xf numFmtId="10" fontId="28" fillId="9" borderId="0" xfId="4" applyNumberFormat="1"/>
    <xf numFmtId="10" fontId="33" fillId="9" borderId="0" xfId="15" applyNumberFormat="1" applyFill="1"/>
    <xf numFmtId="10" fontId="33" fillId="6" borderId="0" xfId="15" applyNumberFormat="1" applyFill="1"/>
    <xf numFmtId="0" fontId="23" fillId="0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10" fontId="0" fillId="0" borderId="48" xfId="14" applyNumberFormat="1" applyFont="1" applyBorder="1"/>
    <xf numFmtId="9" fontId="0" fillId="0" borderId="5" xfId="14" applyFont="1" applyFill="1" applyBorder="1" applyAlignment="1">
      <alignment horizontal="center"/>
    </xf>
    <xf numFmtId="10" fontId="28" fillId="6" borderId="5" xfId="1" applyNumberFormat="1" applyBorder="1"/>
    <xf numFmtId="10" fontId="28" fillId="7" borderId="5" xfId="2" applyNumberFormat="1" applyBorder="1"/>
    <xf numFmtId="10" fontId="28" fillId="9" borderId="5" xfId="4" applyNumberFormat="1" applyBorder="1"/>
    <xf numFmtId="0" fontId="0" fillId="0" borderId="1" xfId="0" applyBorder="1"/>
    <xf numFmtId="10" fontId="28" fillId="6" borderId="1" xfId="1" applyNumberFormat="1" applyBorder="1"/>
    <xf numFmtId="10" fontId="28" fillId="7" borderId="1" xfId="2" applyNumberFormat="1" applyBorder="1"/>
    <xf numFmtId="10" fontId="28" fillId="9" borderId="1" xfId="4" applyNumberFormat="1" applyBorder="1"/>
    <xf numFmtId="10" fontId="28" fillId="6" borderId="0" xfId="1" applyNumberFormat="1" applyBorder="1"/>
    <xf numFmtId="10" fontId="28" fillId="7" borderId="0" xfId="2" applyNumberFormat="1" applyBorder="1"/>
    <xf numFmtId="10" fontId="28" fillId="9" borderId="0" xfId="4" applyNumberFormat="1" applyBorder="1"/>
    <xf numFmtId="0" fontId="24" fillId="0" borderId="0" xfId="0" applyFont="1"/>
    <xf numFmtId="43" fontId="0" fillId="0" borderId="0" xfId="8" applyFont="1"/>
    <xf numFmtId="0" fontId="23" fillId="0" borderId="5" xfId="0" applyFont="1" applyBorder="1"/>
    <xf numFmtId="43" fontId="0" fillId="0" borderId="5" xfId="8" applyFont="1" applyBorder="1"/>
    <xf numFmtId="0" fontId="23" fillId="0" borderId="0" xfId="0" applyFont="1" applyAlignment="1">
      <alignment horizontal="right"/>
    </xf>
    <xf numFmtId="0" fontId="0" fillId="0" borderId="32" xfId="0" applyBorder="1"/>
    <xf numFmtId="16" fontId="23" fillId="0" borderId="0" xfId="0" applyNumberFormat="1" applyFont="1"/>
    <xf numFmtId="0" fontId="25" fillId="0" borderId="0" xfId="0" applyFont="1"/>
    <xf numFmtId="0" fontId="23" fillId="3" borderId="2" xfId="0" applyFont="1" applyFill="1" applyBorder="1"/>
    <xf numFmtId="0" fontId="30" fillId="12" borderId="51" xfId="7" applyAlignment="1">
      <alignment horizontal="center"/>
    </xf>
    <xf numFmtId="1" fontId="30" fillId="12" borderId="51" xfId="7" applyNumberFormat="1" applyAlignment="1">
      <alignment horizontal="center"/>
    </xf>
    <xf numFmtId="9" fontId="30" fillId="12" borderId="51" xfId="7" applyNumberFormat="1" applyAlignment="1">
      <alignment horizontal="center"/>
    </xf>
    <xf numFmtId="0" fontId="29" fillId="11" borderId="24" xfId="6" applyBorder="1" applyAlignment="1">
      <alignment horizontal="center"/>
    </xf>
    <xf numFmtId="0" fontId="32" fillId="14" borderId="24" xfId="12" applyBorder="1" applyAlignment="1">
      <alignment horizontal="center"/>
    </xf>
    <xf numFmtId="0" fontId="31" fillId="13" borderId="24" xfId="10" applyBorder="1" applyAlignment="1">
      <alignment horizontal="center"/>
    </xf>
    <xf numFmtId="0" fontId="33" fillId="9" borderId="24" xfId="15" applyFill="1" applyBorder="1" applyAlignment="1">
      <alignment horizontal="center"/>
    </xf>
    <xf numFmtId="10" fontId="5" fillId="0" borderId="35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166" fontId="28" fillId="8" borderId="52" xfId="3" applyNumberFormat="1" applyBorder="1" applyAlignment="1">
      <alignment horizontal="right"/>
    </xf>
    <xf numFmtId="1" fontId="28" fillId="8" borderId="52" xfId="3" applyNumberFormat="1" applyBorder="1" applyAlignment="1">
      <alignment horizontal="right"/>
    </xf>
    <xf numFmtId="0" fontId="0" fillId="0" borderId="5" xfId="0" applyBorder="1" applyAlignment="1">
      <alignment horizontal="center"/>
    </xf>
    <xf numFmtId="166" fontId="28" fillId="8" borderId="53" xfId="3" applyNumberFormat="1" applyBorder="1" applyAlignment="1">
      <alignment horizontal="right"/>
    </xf>
    <xf numFmtId="10" fontId="21" fillId="21" borderId="37" xfId="14" applyNumberFormat="1" applyFont="1" applyFill="1" applyBorder="1" applyAlignment="1">
      <alignment horizontal="center"/>
    </xf>
    <xf numFmtId="0" fontId="0" fillId="23" borderId="9" xfId="0" applyFill="1" applyBorder="1"/>
    <xf numFmtId="0" fontId="11" fillId="23" borderId="3" xfId="0" applyFont="1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11" fillId="17" borderId="0" xfId="0" applyFont="1" applyFill="1" applyBorder="1" applyAlignment="1">
      <alignment horizontal="center"/>
    </xf>
    <xf numFmtId="10" fontId="34" fillId="6" borderId="0" xfId="15" applyNumberFormat="1" applyFont="1" applyFill="1"/>
    <xf numFmtId="10" fontId="34" fillId="9" borderId="0" xfId="15" applyNumberFormat="1" applyFont="1" applyFill="1"/>
    <xf numFmtId="0" fontId="11" fillId="0" borderId="0" xfId="0" applyFont="1"/>
    <xf numFmtId="165" fontId="0" fillId="0" borderId="0" xfId="0" applyNumberFormat="1"/>
    <xf numFmtId="168" fontId="0" fillId="0" borderId="0" xfId="0" applyNumberFormat="1"/>
    <xf numFmtId="0" fontId="26" fillId="15" borderId="52" xfId="13" applyFont="1" applyAlignment="1">
      <alignment horizontal="center" vertical="center" wrapText="1"/>
    </xf>
    <xf numFmtId="44" fontId="0" fillId="0" borderId="0" xfId="9" applyFont="1" applyFill="1" applyBorder="1" applyAlignment="1">
      <alignment horizontal="left"/>
    </xf>
    <xf numFmtId="44" fontId="0" fillId="0" borderId="5" xfId="9" applyFont="1" applyFill="1" applyBorder="1" applyAlignment="1">
      <alignment horizontal="left"/>
    </xf>
    <xf numFmtId="44" fontId="0" fillId="0" borderId="49" xfId="0" applyNumberFormat="1" applyBorder="1"/>
    <xf numFmtId="44" fontId="28" fillId="9" borderId="0" xfId="4" applyNumberFormat="1"/>
    <xf numFmtId="44" fontId="28" fillId="9" borderId="5" xfId="4" applyNumberFormat="1" applyBorder="1"/>
    <xf numFmtId="44" fontId="33" fillId="9" borderId="0" xfId="15" applyNumberFormat="1" applyFill="1"/>
    <xf numFmtId="0" fontId="11" fillId="3" borderId="2" xfId="0" applyFont="1" applyFill="1" applyBorder="1"/>
    <xf numFmtId="9" fontId="11" fillId="0" borderId="0" xfId="0" applyNumberFormat="1" applyFont="1" applyFill="1" applyBorder="1" applyAlignment="1">
      <alignment horizontal="center"/>
    </xf>
    <xf numFmtId="9" fontId="0" fillId="0" borderId="5" xfId="0" applyNumberFormat="1" applyFill="1" applyBorder="1" applyAlignment="1">
      <alignment horizontal="center"/>
    </xf>
    <xf numFmtId="44" fontId="28" fillId="9" borderId="0" xfId="4" applyNumberFormat="1" applyBorder="1"/>
    <xf numFmtId="0" fontId="11" fillId="0" borderId="0" xfId="0" applyFont="1" applyAlignment="1">
      <alignment horizontal="center"/>
    </xf>
    <xf numFmtId="44" fontId="34" fillId="9" borderId="0" xfId="4" applyNumberFormat="1" applyFont="1" applyBorder="1"/>
    <xf numFmtId="44" fontId="33" fillId="9" borderId="0" xfId="4" applyNumberFormat="1" applyFont="1" applyBorder="1"/>
    <xf numFmtId="10" fontId="33" fillId="9" borderId="0" xfId="4" applyNumberFormat="1" applyFont="1" applyBorder="1"/>
    <xf numFmtId="10" fontId="33" fillId="7" borderId="0" xfId="2" applyNumberFormat="1" applyFont="1" applyBorder="1"/>
    <xf numFmtId="10" fontId="34" fillId="9" borderId="0" xfId="4" applyNumberFormat="1" applyFont="1" applyBorder="1"/>
    <xf numFmtId="10" fontId="34" fillId="6" borderId="0" xfId="1" applyNumberFormat="1" applyFont="1" applyBorder="1"/>
    <xf numFmtId="0" fontId="28" fillId="10" borderId="0" xfId="5" applyBorder="1" applyAlignment="1">
      <alignment horizontal="center"/>
    </xf>
    <xf numFmtId="0" fontId="11" fillId="0" borderId="0" xfId="0" applyFont="1" applyBorder="1"/>
    <xf numFmtId="2" fontId="0" fillId="0" borderId="48" xfId="14" applyNumberFormat="1" applyFont="1" applyBorder="1"/>
    <xf numFmtId="10" fontId="0" fillId="0" borderId="1" xfId="14" applyNumberFormat="1" applyFont="1" applyBorder="1"/>
    <xf numFmtId="0" fontId="11" fillId="0" borderId="5" xfId="0" applyFont="1" applyBorder="1" applyAlignment="1">
      <alignment horizontal="center"/>
    </xf>
    <xf numFmtId="44" fontId="34" fillId="9" borderId="5" xfId="4" applyNumberFormat="1" applyFont="1" applyBorder="1"/>
    <xf numFmtId="44" fontId="0" fillId="0" borderId="1" xfId="9" applyFont="1" applyFill="1" applyBorder="1" applyAlignment="1">
      <alignment horizontal="left"/>
    </xf>
    <xf numFmtId="9" fontId="0" fillId="0" borderId="1" xfId="14" applyFont="1" applyFill="1" applyBorder="1" applyAlignment="1">
      <alignment horizontal="center"/>
    </xf>
    <xf numFmtId="44" fontId="34" fillId="9" borderId="1" xfId="4" applyNumberFormat="1" applyFont="1" applyBorder="1"/>
    <xf numFmtId="0" fontId="28" fillId="10" borderId="1" xfId="5" applyBorder="1" applyAlignment="1">
      <alignment horizontal="center"/>
    </xf>
    <xf numFmtId="0" fontId="28" fillId="10" borderId="49" xfId="5" applyBorder="1" applyAlignment="1">
      <alignment horizontal="center"/>
    </xf>
    <xf numFmtId="44" fontId="0" fillId="0" borderId="49" xfId="9" applyFont="1" applyFill="1" applyBorder="1" applyAlignment="1">
      <alignment horizontal="left"/>
    </xf>
    <xf numFmtId="9" fontId="0" fillId="0" borderId="49" xfId="0" applyNumberFormat="1" applyFill="1" applyBorder="1" applyAlignment="1">
      <alignment horizontal="center"/>
    </xf>
    <xf numFmtId="0" fontId="0" fillId="0" borderId="49" xfId="0" applyBorder="1"/>
    <xf numFmtId="0" fontId="11" fillId="0" borderId="49" xfId="0" applyFont="1" applyBorder="1"/>
    <xf numFmtId="10" fontId="28" fillId="6" borderId="49" xfId="1" applyNumberFormat="1" applyBorder="1"/>
    <xf numFmtId="10" fontId="28" fillId="7" borderId="49" xfId="2" applyNumberFormat="1" applyBorder="1"/>
    <xf numFmtId="10" fontId="28" fillId="9" borderId="49" xfId="4" applyNumberFormat="1" applyBorder="1"/>
    <xf numFmtId="0" fontId="11" fillId="0" borderId="49" xfId="0" applyFont="1" applyBorder="1" applyAlignment="1">
      <alignment horizontal="center"/>
    </xf>
    <xf numFmtId="44" fontId="28" fillId="9" borderId="49" xfId="4" applyNumberFormat="1" applyBorder="1"/>
    <xf numFmtId="0" fontId="11" fillId="0" borderId="0" xfId="0" applyFont="1" applyBorder="1" applyAlignment="1">
      <alignment horizontal="center"/>
    </xf>
    <xf numFmtId="0" fontId="8" fillId="0" borderId="50" xfId="11" applyBorder="1" applyAlignment="1" applyProtection="1">
      <alignment horizontal="center"/>
    </xf>
    <xf numFmtId="0" fontId="8" fillId="0" borderId="10" xfId="11" applyBorder="1" applyAlignment="1" applyProtection="1">
      <alignment horizontal="center"/>
    </xf>
    <xf numFmtId="0" fontId="35" fillId="0" borderId="0" xfId="0" applyFont="1"/>
    <xf numFmtId="16" fontId="23" fillId="0" borderId="0" xfId="0" applyNumberFormat="1" applyFont="1" applyAlignment="1">
      <alignment horizontal="right"/>
    </xf>
    <xf numFmtId="0" fontId="21" fillId="0" borderId="34" xfId="0" applyFont="1" applyFill="1" applyBorder="1"/>
    <xf numFmtId="0" fontId="21" fillId="0" borderId="28" xfId="0" applyFont="1" applyFill="1" applyBorder="1"/>
    <xf numFmtId="167" fontId="21" fillId="0" borderId="24" xfId="8" applyNumberFormat="1" applyFont="1" applyFill="1" applyBorder="1" applyAlignment="1">
      <alignment horizontal="center" vertical="center"/>
    </xf>
    <xf numFmtId="0" fontId="21" fillId="17" borderId="24" xfId="0" applyFont="1" applyFill="1" applyBorder="1" applyAlignment="1">
      <alignment horizontal="center"/>
    </xf>
    <xf numFmtId="0" fontId="21" fillId="17" borderId="24" xfId="0" applyFont="1" applyFill="1" applyBorder="1"/>
    <xf numFmtId="0" fontId="21" fillId="17" borderId="25" xfId="0" applyFont="1" applyFill="1" applyBorder="1"/>
    <xf numFmtId="0" fontId="11" fillId="16" borderId="0" xfId="0" applyFont="1" applyFill="1" applyBorder="1" applyAlignment="1">
      <alignment horizontal="center"/>
    </xf>
    <xf numFmtId="44" fontId="33" fillId="9" borderId="0" xfId="4" applyNumberFormat="1" applyFont="1"/>
    <xf numFmtId="0" fontId="5" fillId="0" borderId="9" xfId="0" applyFont="1" applyFill="1" applyBorder="1"/>
    <xf numFmtId="3" fontId="0" fillId="0" borderId="0" xfId="0" applyNumberFormat="1"/>
    <xf numFmtId="0" fontId="3" fillId="0" borderId="0" xfId="0" applyFont="1"/>
    <xf numFmtId="9" fontId="29" fillId="11" borderId="0" xfId="6" applyNumberFormat="1"/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5" xfId="0" applyFont="1" applyFill="1" applyBorder="1" applyAlignment="1">
      <alignment horizontal="center" wrapText="1"/>
    </xf>
    <xf numFmtId="0" fontId="7" fillId="0" borderId="54" xfId="0" applyFont="1" applyFill="1" applyBorder="1" applyAlignment="1">
      <alignment horizontal="center" wrapText="1"/>
    </xf>
    <xf numFmtId="44" fontId="0" fillId="0" borderId="0" xfId="9" applyFont="1"/>
    <xf numFmtId="44" fontId="0" fillId="0" borderId="5" xfId="9" applyFont="1" applyBorder="1"/>
    <xf numFmtId="9" fontId="0" fillId="0" borderId="5" xfId="14" applyFont="1" applyBorder="1"/>
    <xf numFmtId="9" fontId="0" fillId="0" borderId="0" xfId="14" applyFont="1" applyBorder="1"/>
    <xf numFmtId="44" fontId="0" fillId="0" borderId="0" xfId="9" applyFont="1" applyBorder="1"/>
    <xf numFmtId="44" fontId="0" fillId="0" borderId="0" xfId="0" applyNumberFormat="1"/>
    <xf numFmtId="9" fontId="3" fillId="0" borderId="5" xfId="14" applyFont="1" applyBorder="1"/>
    <xf numFmtId="0" fontId="3" fillId="0" borderId="55" xfId="0" applyFont="1" applyBorder="1"/>
    <xf numFmtId="166" fontId="5" fillId="0" borderId="0" xfId="9" applyNumberFormat="1" applyFont="1" applyFill="1" applyBorder="1"/>
    <xf numFmtId="44" fontId="2" fillId="8" borderId="52" xfId="9" applyFont="1" applyFill="1" applyBorder="1" applyAlignment="1">
      <alignment horizontal="right"/>
    </xf>
    <xf numFmtId="0" fontId="1" fillId="8" borderId="52" xfId="3" applyFont="1" applyBorder="1" applyAlignment="1">
      <alignment horizontal="right"/>
    </xf>
    <xf numFmtId="44" fontId="34" fillId="9" borderId="0" xfId="4" applyNumberFormat="1" applyFont="1"/>
    <xf numFmtId="0" fontId="3" fillId="0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10" fontId="0" fillId="0" borderId="0" xfId="0" applyNumberFormat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38" xfId="0" applyFont="1" applyBorder="1" applyAlignment="1">
      <alignment horizontal="center"/>
    </xf>
  </cellXfs>
  <cellStyles count="16">
    <cellStyle name="20% - Accent2" xfId="1" builtinId="34"/>
    <cellStyle name="20% - Accent3" xfId="2" builtinId="38"/>
    <cellStyle name="20% - Accent4" xfId="3" builtinId="42"/>
    <cellStyle name="40% - Accent2" xfId="4" builtinId="35"/>
    <cellStyle name="40% - Accent6" xfId="5" builtinId="51"/>
    <cellStyle name="Bad" xfId="6" builtinId="27"/>
    <cellStyle name="Calculation" xfId="7" builtinId="22"/>
    <cellStyle name="Comma" xfId="8" builtinId="3"/>
    <cellStyle name="Currency" xfId="9" builtinId="4"/>
    <cellStyle name="Good" xfId="10" builtinId="26"/>
    <cellStyle name="Hyperlink" xfId="11" builtinId="8"/>
    <cellStyle name="Neutral" xfId="12" builtinId="28"/>
    <cellStyle name="Normal" xfId="0" builtinId="0"/>
    <cellStyle name="Note" xfId="13" builtinId="10"/>
    <cellStyle name="Percent" xfId="14" builtinId="5"/>
    <cellStyle name="Warning Text" xfId="15" builtin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95250</xdr:rowOff>
    </xdr:from>
    <xdr:to>
      <xdr:col>8</xdr:col>
      <xdr:colOff>1333500</xdr:colOff>
      <xdr:row>7</xdr:row>
      <xdr:rowOff>95250</xdr:rowOff>
    </xdr:to>
    <xdr:sp macro="" textlink="">
      <xdr:nvSpPr>
        <xdr:cNvPr id="8906" name="Line 11"/>
        <xdr:cNvSpPr>
          <a:spLocks noChangeShapeType="1"/>
        </xdr:cNvSpPr>
      </xdr:nvSpPr>
      <xdr:spPr bwMode="auto">
        <a:xfrm>
          <a:off x="6296025" y="1590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11</xdr:row>
      <xdr:rowOff>76200</xdr:rowOff>
    </xdr:from>
    <xdr:to>
      <xdr:col>8</xdr:col>
      <xdr:colOff>1181100</xdr:colOff>
      <xdr:row>11</xdr:row>
      <xdr:rowOff>76200</xdr:rowOff>
    </xdr:to>
    <xdr:sp macro="" textlink="">
      <xdr:nvSpPr>
        <xdr:cNvPr id="8907" name="Line 12"/>
        <xdr:cNvSpPr>
          <a:spLocks noChangeShapeType="1"/>
        </xdr:cNvSpPr>
      </xdr:nvSpPr>
      <xdr:spPr bwMode="auto">
        <a:xfrm>
          <a:off x="2790825" y="2295525"/>
          <a:ext cx="468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29</xdr:row>
      <xdr:rowOff>76200</xdr:rowOff>
    </xdr:from>
    <xdr:to>
      <xdr:col>9</xdr:col>
      <xdr:colOff>9525</xdr:colOff>
      <xdr:row>29</xdr:row>
      <xdr:rowOff>76200</xdr:rowOff>
    </xdr:to>
    <xdr:sp macro="" textlink="">
      <xdr:nvSpPr>
        <xdr:cNvPr id="8908" name="Line 13"/>
        <xdr:cNvSpPr>
          <a:spLocks noChangeShapeType="1"/>
        </xdr:cNvSpPr>
      </xdr:nvSpPr>
      <xdr:spPr bwMode="auto">
        <a:xfrm>
          <a:off x="3505200" y="4848225"/>
          <a:ext cx="414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847725</xdr:colOff>
      <xdr:row>42</xdr:row>
      <xdr:rowOff>104775</xdr:rowOff>
    </xdr:from>
    <xdr:to>
      <xdr:col>8</xdr:col>
      <xdr:colOff>95250</xdr:colOff>
      <xdr:row>42</xdr:row>
      <xdr:rowOff>104775</xdr:rowOff>
    </xdr:to>
    <xdr:sp macro="" textlink="">
      <xdr:nvSpPr>
        <xdr:cNvPr id="8909" name="Line 14"/>
        <xdr:cNvSpPr>
          <a:spLocks noChangeShapeType="1"/>
        </xdr:cNvSpPr>
      </xdr:nvSpPr>
      <xdr:spPr bwMode="auto">
        <a:xfrm>
          <a:off x="5800725" y="707707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962025</xdr:colOff>
      <xdr:row>42</xdr:row>
      <xdr:rowOff>95250</xdr:rowOff>
    </xdr:from>
    <xdr:to>
      <xdr:col>9</xdr:col>
      <xdr:colOff>142875</xdr:colOff>
      <xdr:row>42</xdr:row>
      <xdr:rowOff>95250</xdr:rowOff>
    </xdr:to>
    <xdr:sp macro="" textlink="">
      <xdr:nvSpPr>
        <xdr:cNvPr id="8910" name="Line 15"/>
        <xdr:cNvSpPr>
          <a:spLocks noChangeShapeType="1"/>
        </xdr:cNvSpPr>
      </xdr:nvSpPr>
      <xdr:spPr bwMode="auto">
        <a:xfrm>
          <a:off x="7258050" y="706755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476250</xdr:colOff>
      <xdr:row>8</xdr:row>
      <xdr:rowOff>9525</xdr:rowOff>
    </xdr:from>
    <xdr:to>
      <xdr:col>9</xdr:col>
      <xdr:colOff>476250</xdr:colOff>
      <xdr:row>10</xdr:row>
      <xdr:rowOff>161925</xdr:rowOff>
    </xdr:to>
    <xdr:sp macro="" textlink="">
      <xdr:nvSpPr>
        <xdr:cNvPr id="8911" name="Line 17"/>
        <xdr:cNvSpPr>
          <a:spLocks noChangeShapeType="1"/>
        </xdr:cNvSpPr>
      </xdr:nvSpPr>
      <xdr:spPr bwMode="auto">
        <a:xfrm>
          <a:off x="8115300" y="1724025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476250</xdr:colOff>
      <xdr:row>30</xdr:row>
      <xdr:rowOff>9525</xdr:rowOff>
    </xdr:from>
    <xdr:to>
      <xdr:col>9</xdr:col>
      <xdr:colOff>476250</xdr:colOff>
      <xdr:row>41</xdr:row>
      <xdr:rowOff>161925</xdr:rowOff>
    </xdr:to>
    <xdr:sp macro="" textlink="">
      <xdr:nvSpPr>
        <xdr:cNvPr id="8912" name="Line 19"/>
        <xdr:cNvSpPr>
          <a:spLocks noChangeShapeType="1"/>
        </xdr:cNvSpPr>
      </xdr:nvSpPr>
      <xdr:spPr bwMode="auto">
        <a:xfrm>
          <a:off x="8115300" y="4962525"/>
          <a:ext cx="0" cy="2000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1247775</xdr:colOff>
      <xdr:row>50</xdr:row>
      <xdr:rowOff>114300</xdr:rowOff>
    </xdr:from>
    <xdr:to>
      <xdr:col>8</xdr:col>
      <xdr:colOff>1314450</xdr:colOff>
      <xdr:row>50</xdr:row>
      <xdr:rowOff>114300</xdr:rowOff>
    </xdr:to>
    <xdr:sp macro="" textlink="">
      <xdr:nvSpPr>
        <xdr:cNvPr id="8913" name="Line 22"/>
        <xdr:cNvSpPr>
          <a:spLocks noChangeShapeType="1"/>
        </xdr:cNvSpPr>
      </xdr:nvSpPr>
      <xdr:spPr bwMode="auto">
        <a:xfrm>
          <a:off x="6200775" y="8477250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476250</xdr:colOff>
      <xdr:row>12</xdr:row>
      <xdr:rowOff>9525</xdr:rowOff>
    </xdr:from>
    <xdr:to>
      <xdr:col>9</xdr:col>
      <xdr:colOff>476250</xdr:colOff>
      <xdr:row>12</xdr:row>
      <xdr:rowOff>180975</xdr:rowOff>
    </xdr:to>
    <xdr:cxnSp macro="">
      <xdr:nvCxnSpPr>
        <xdr:cNvPr id="8914" name="AutoShape 23"/>
        <xdr:cNvCxnSpPr>
          <a:cxnSpLocks noChangeShapeType="1"/>
        </xdr:cNvCxnSpPr>
      </xdr:nvCxnSpPr>
      <xdr:spPr bwMode="auto">
        <a:xfrm>
          <a:off x="8115300" y="2409825"/>
          <a:ext cx="0" cy="1714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476250</xdr:colOff>
      <xdr:row>14</xdr:row>
      <xdr:rowOff>38100</xdr:rowOff>
    </xdr:from>
    <xdr:to>
      <xdr:col>9</xdr:col>
      <xdr:colOff>476250</xdr:colOff>
      <xdr:row>15</xdr:row>
      <xdr:rowOff>0</xdr:rowOff>
    </xdr:to>
    <xdr:cxnSp macro="">
      <xdr:nvCxnSpPr>
        <xdr:cNvPr id="8915" name="AutoShape 24"/>
        <xdr:cNvCxnSpPr>
          <a:cxnSpLocks noChangeShapeType="1"/>
        </xdr:cNvCxnSpPr>
      </xdr:nvCxnSpPr>
      <xdr:spPr bwMode="auto">
        <a:xfrm>
          <a:off x="8115300" y="2800350"/>
          <a:ext cx="0" cy="1428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476250</xdr:colOff>
      <xdr:row>16</xdr:row>
      <xdr:rowOff>9525</xdr:rowOff>
    </xdr:from>
    <xdr:to>
      <xdr:col>9</xdr:col>
      <xdr:colOff>476250</xdr:colOff>
      <xdr:row>28</xdr:row>
      <xdr:rowOff>161925</xdr:rowOff>
    </xdr:to>
    <xdr:cxnSp macro="">
      <xdr:nvCxnSpPr>
        <xdr:cNvPr id="8916" name="AutoShape 26"/>
        <xdr:cNvCxnSpPr>
          <a:cxnSpLocks noChangeShapeType="1"/>
        </xdr:cNvCxnSpPr>
      </xdr:nvCxnSpPr>
      <xdr:spPr bwMode="auto">
        <a:xfrm>
          <a:off x="8115300" y="3133725"/>
          <a:ext cx="0" cy="16287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13</xdr:row>
      <xdr:rowOff>104775</xdr:rowOff>
    </xdr:from>
    <xdr:to>
      <xdr:col>8</xdr:col>
      <xdr:colOff>1333500</xdr:colOff>
      <xdr:row>13</xdr:row>
      <xdr:rowOff>104775</xdr:rowOff>
    </xdr:to>
    <xdr:cxnSp macro="">
      <xdr:nvCxnSpPr>
        <xdr:cNvPr id="8917" name="AutoShape 27"/>
        <xdr:cNvCxnSpPr>
          <a:cxnSpLocks noChangeShapeType="1"/>
        </xdr:cNvCxnSpPr>
      </xdr:nvCxnSpPr>
      <xdr:spPr bwMode="auto">
        <a:xfrm>
          <a:off x="6305550" y="2686050"/>
          <a:ext cx="13239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15</xdr:row>
      <xdr:rowOff>95250</xdr:rowOff>
    </xdr:from>
    <xdr:to>
      <xdr:col>8</xdr:col>
      <xdr:colOff>1333500</xdr:colOff>
      <xdr:row>15</xdr:row>
      <xdr:rowOff>95250</xdr:rowOff>
    </xdr:to>
    <xdr:cxnSp macro="">
      <xdr:nvCxnSpPr>
        <xdr:cNvPr id="8918" name="AutoShape 29"/>
        <xdr:cNvCxnSpPr>
          <a:cxnSpLocks noChangeShapeType="1"/>
        </xdr:cNvCxnSpPr>
      </xdr:nvCxnSpPr>
      <xdr:spPr bwMode="auto">
        <a:xfrm>
          <a:off x="6305550" y="3038475"/>
          <a:ext cx="13239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847725</xdr:colOff>
      <xdr:row>42</xdr:row>
      <xdr:rowOff>104775</xdr:rowOff>
    </xdr:from>
    <xdr:to>
      <xdr:col>8</xdr:col>
      <xdr:colOff>95250</xdr:colOff>
      <xdr:row>42</xdr:row>
      <xdr:rowOff>104775</xdr:rowOff>
    </xdr:to>
    <xdr:sp macro="" textlink="">
      <xdr:nvSpPr>
        <xdr:cNvPr id="8919" name="Line 14"/>
        <xdr:cNvSpPr>
          <a:spLocks noChangeShapeType="1"/>
        </xdr:cNvSpPr>
      </xdr:nvSpPr>
      <xdr:spPr bwMode="auto">
        <a:xfrm>
          <a:off x="5800725" y="707707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45</xdr:row>
      <xdr:rowOff>76200</xdr:rowOff>
    </xdr:from>
    <xdr:to>
      <xdr:col>9</xdr:col>
      <xdr:colOff>66675</xdr:colOff>
      <xdr:row>45</xdr:row>
      <xdr:rowOff>95250</xdr:rowOff>
    </xdr:to>
    <xdr:sp macro="" textlink="">
      <xdr:nvSpPr>
        <xdr:cNvPr id="8920" name="Line 13"/>
        <xdr:cNvSpPr>
          <a:spLocks noChangeShapeType="1"/>
        </xdr:cNvSpPr>
      </xdr:nvSpPr>
      <xdr:spPr bwMode="auto">
        <a:xfrm>
          <a:off x="4972050" y="7581900"/>
          <a:ext cx="27336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533400</xdr:colOff>
      <xdr:row>46</xdr:row>
      <xdr:rowOff>0</xdr:rowOff>
    </xdr:from>
    <xdr:to>
      <xdr:col>9</xdr:col>
      <xdr:colOff>542925</xdr:colOff>
      <xdr:row>49</xdr:row>
      <xdr:rowOff>28575</xdr:rowOff>
    </xdr:to>
    <xdr:sp macro="" textlink="">
      <xdr:nvSpPr>
        <xdr:cNvPr id="8921" name="Line 19"/>
        <xdr:cNvSpPr>
          <a:spLocks noChangeShapeType="1"/>
        </xdr:cNvSpPr>
      </xdr:nvSpPr>
      <xdr:spPr bwMode="auto">
        <a:xfrm>
          <a:off x="8172450" y="7686675"/>
          <a:ext cx="952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466725</xdr:colOff>
      <xdr:row>43</xdr:row>
      <xdr:rowOff>9525</xdr:rowOff>
    </xdr:from>
    <xdr:to>
      <xdr:col>9</xdr:col>
      <xdr:colOff>476250</xdr:colOff>
      <xdr:row>44</xdr:row>
      <xdr:rowOff>142875</xdr:rowOff>
    </xdr:to>
    <xdr:sp macro="" textlink="">
      <xdr:nvSpPr>
        <xdr:cNvPr id="8922" name="Line 13"/>
        <xdr:cNvSpPr>
          <a:spLocks noChangeShapeType="1"/>
        </xdr:cNvSpPr>
      </xdr:nvSpPr>
      <xdr:spPr bwMode="auto">
        <a:xfrm>
          <a:off x="8105775" y="7162800"/>
          <a:ext cx="952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38100</xdr:colOff>
          <xdr:row>8</xdr:row>
          <xdr:rowOff>38100</xdr:rowOff>
        </xdr:from>
        <xdr:to>
          <xdr:col>16</xdr:col>
          <xdr:colOff>400050</xdr:colOff>
          <xdr:row>10</xdr:row>
          <xdr:rowOff>66675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CALCULATE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390525</xdr:colOff>
          <xdr:row>20</xdr:row>
          <xdr:rowOff>76200</xdr:rowOff>
        </xdr:from>
        <xdr:to>
          <xdr:col>24</xdr:col>
          <xdr:colOff>466725</xdr:colOff>
          <xdr:row>22</xdr:row>
          <xdr:rowOff>104775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FIX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20</xdr:row>
      <xdr:rowOff>0</xdr:rowOff>
    </xdr:from>
    <xdr:to>
      <xdr:col>7</xdr:col>
      <xdr:colOff>180975</xdr:colOff>
      <xdr:row>26</xdr:row>
      <xdr:rowOff>9525</xdr:rowOff>
    </xdr:to>
    <xdr:sp macro="" textlink="">
      <xdr:nvSpPr>
        <xdr:cNvPr id="2838" name="AutoShape 2"/>
        <xdr:cNvSpPr>
          <a:spLocks/>
        </xdr:cNvSpPr>
      </xdr:nvSpPr>
      <xdr:spPr bwMode="auto">
        <a:xfrm>
          <a:off x="5219700" y="3438525"/>
          <a:ext cx="161925" cy="1019175"/>
        </a:xfrm>
        <a:prstGeom prst="rightBrace">
          <a:avLst>
            <a:gd name="adj1" fmla="val 5245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428625</xdr:colOff>
      <xdr:row>29</xdr:row>
      <xdr:rowOff>0</xdr:rowOff>
    </xdr:from>
    <xdr:to>
      <xdr:col>2</xdr:col>
      <xdr:colOff>590550</xdr:colOff>
      <xdr:row>31</xdr:row>
      <xdr:rowOff>161925</xdr:rowOff>
    </xdr:to>
    <xdr:sp macro="" textlink="">
      <xdr:nvSpPr>
        <xdr:cNvPr id="2839" name="AutoShape 18"/>
        <xdr:cNvSpPr>
          <a:spLocks/>
        </xdr:cNvSpPr>
      </xdr:nvSpPr>
      <xdr:spPr bwMode="auto">
        <a:xfrm>
          <a:off x="1495425" y="4981575"/>
          <a:ext cx="161925" cy="4857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180975</xdr:colOff>
      <xdr:row>25</xdr:row>
      <xdr:rowOff>66675</xdr:rowOff>
    </xdr:from>
    <xdr:to>
      <xdr:col>1</xdr:col>
      <xdr:colOff>180975</xdr:colOff>
      <xdr:row>29</xdr:row>
      <xdr:rowOff>152400</xdr:rowOff>
    </xdr:to>
    <xdr:cxnSp macro="">
      <xdr:nvCxnSpPr>
        <xdr:cNvPr id="2840" name="AutoShape 19"/>
        <xdr:cNvCxnSpPr>
          <a:cxnSpLocks noChangeShapeType="1"/>
        </xdr:cNvCxnSpPr>
      </xdr:nvCxnSpPr>
      <xdr:spPr bwMode="auto">
        <a:xfrm flipV="1">
          <a:off x="771525" y="4343400"/>
          <a:ext cx="0" cy="7905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51"/>
  <sheetViews>
    <sheetView zoomScaleNormal="100" workbookViewId="0">
      <selection activeCell="N9" sqref="N9"/>
    </sheetView>
  </sheetViews>
  <sheetFormatPr defaultColWidth="8.85546875" defaultRowHeight="12.75" x14ac:dyDescent="0.2"/>
  <cols>
    <col min="5" max="5" width="8.7109375" customWidth="1"/>
    <col min="6" max="6" width="8.28515625" customWidth="1"/>
    <col min="7" max="7" width="21.85546875" customWidth="1"/>
    <col min="8" max="8" width="20.140625" customWidth="1"/>
    <col min="9" max="9" width="20.140625" bestFit="1" customWidth="1"/>
    <col min="10" max="10" width="16" customWidth="1"/>
    <col min="13" max="13" width="26.140625" customWidth="1"/>
    <col min="14" max="14" width="15.42578125" bestFit="1" customWidth="1"/>
  </cols>
  <sheetData>
    <row r="1" spans="1:15" ht="23.25" x14ac:dyDescent="0.35">
      <c r="A1" s="43" t="s">
        <v>33</v>
      </c>
    </row>
    <row r="2" spans="1:15" x14ac:dyDescent="0.2">
      <c r="A2" s="128"/>
      <c r="G2" s="128"/>
      <c r="L2" s="181"/>
      <c r="N2" s="235" t="s">
        <v>216</v>
      </c>
      <c r="O2" s="182"/>
    </row>
    <row r="3" spans="1:15" ht="15.75" x14ac:dyDescent="0.25">
      <c r="A3" s="183" t="s">
        <v>135</v>
      </c>
      <c r="B3" s="31"/>
      <c r="C3" s="31" t="s">
        <v>90</v>
      </c>
      <c r="D3" s="31"/>
      <c r="E3" s="32"/>
      <c r="G3" s="26" t="s">
        <v>47</v>
      </c>
      <c r="H3" s="22" t="s">
        <v>50</v>
      </c>
      <c r="I3" s="173" t="s">
        <v>188</v>
      </c>
      <c r="J3" s="178">
        <v>0.06</v>
      </c>
      <c r="K3" s="166" t="s">
        <v>215</v>
      </c>
      <c r="M3" s="161" t="s">
        <v>191</v>
      </c>
      <c r="N3" s="236">
        <v>200000</v>
      </c>
    </row>
    <row r="4" spans="1:15" ht="15.75" x14ac:dyDescent="0.25">
      <c r="A4" s="184" t="s">
        <v>132</v>
      </c>
      <c r="B4" s="104">
        <v>1</v>
      </c>
      <c r="C4" s="33">
        <v>2</v>
      </c>
      <c r="D4" s="33">
        <v>3</v>
      </c>
      <c r="E4" s="34">
        <v>4</v>
      </c>
      <c r="G4" s="98" t="s">
        <v>49</v>
      </c>
      <c r="H4" s="99">
        <v>0</v>
      </c>
      <c r="I4" s="173" t="s">
        <v>189</v>
      </c>
      <c r="J4" s="188">
        <v>8.7499999999999994E-2</v>
      </c>
      <c r="K4" s="167">
        <v>12</v>
      </c>
      <c r="M4" s="161" t="s">
        <v>116</v>
      </c>
      <c r="N4" s="236">
        <v>141908</v>
      </c>
    </row>
    <row r="5" spans="1:15" ht="15.75" x14ac:dyDescent="0.25">
      <c r="A5" s="254" t="s">
        <v>228</v>
      </c>
      <c r="B5" s="103"/>
      <c r="C5" s="12"/>
      <c r="D5" s="12"/>
      <c r="E5" s="13"/>
      <c r="G5" s="238" t="s">
        <v>86</v>
      </c>
      <c r="H5" s="239">
        <v>4</v>
      </c>
      <c r="M5" s="161" t="s">
        <v>187</v>
      </c>
      <c r="N5" s="316" t="s">
        <v>283</v>
      </c>
    </row>
    <row r="6" spans="1:15" ht="18" x14ac:dyDescent="0.25">
      <c r="A6" s="11" t="s">
        <v>42</v>
      </c>
      <c r="B6" s="240">
        <v>0</v>
      </c>
      <c r="C6" s="29">
        <v>0</v>
      </c>
      <c r="D6" s="29">
        <v>15</v>
      </c>
      <c r="E6" s="24">
        <v>20</v>
      </c>
      <c r="G6" s="238" t="s">
        <v>87</v>
      </c>
      <c r="H6" s="42">
        <v>6</v>
      </c>
      <c r="J6" s="48" t="s">
        <v>6</v>
      </c>
      <c r="M6" s="161" t="s">
        <v>201</v>
      </c>
      <c r="N6" s="233">
        <v>119365</v>
      </c>
    </row>
    <row r="7" spans="1:15" ht="16.5" thickBot="1" x14ac:dyDescent="0.3">
      <c r="A7" s="11" t="s">
        <v>43</v>
      </c>
      <c r="B7" s="240">
        <v>0</v>
      </c>
      <c r="C7" s="29">
        <v>1</v>
      </c>
      <c r="D7" s="29">
        <v>20</v>
      </c>
      <c r="E7" s="24">
        <v>25</v>
      </c>
      <c r="G7" s="27" t="s">
        <v>88</v>
      </c>
      <c r="H7" s="42">
        <v>7</v>
      </c>
      <c r="M7" s="161" t="s">
        <v>204</v>
      </c>
      <c r="N7" s="234">
        <v>682</v>
      </c>
    </row>
    <row r="8" spans="1:15" ht="17.25" thickTop="1" thickBot="1" x14ac:dyDescent="0.3">
      <c r="A8" s="11" t="s">
        <v>44</v>
      </c>
      <c r="B8" s="240">
        <v>1</v>
      </c>
      <c r="C8" s="29">
        <v>1</v>
      </c>
      <c r="D8" s="29">
        <v>30</v>
      </c>
      <c r="E8" s="42">
        <v>40</v>
      </c>
      <c r="G8" s="28" t="s">
        <v>89</v>
      </c>
      <c r="H8" s="45">
        <v>8</v>
      </c>
      <c r="J8" s="93">
        <v>0</v>
      </c>
      <c r="M8" s="161" t="s">
        <v>90</v>
      </c>
      <c r="N8" s="234">
        <v>2</v>
      </c>
    </row>
    <row r="9" spans="1:15" ht="15.75" thickTop="1" x14ac:dyDescent="0.2">
      <c r="A9" s="11" t="s">
        <v>45</v>
      </c>
      <c r="B9" s="240">
        <v>2</v>
      </c>
      <c r="C9" s="29">
        <v>2</v>
      </c>
      <c r="D9" s="29">
        <v>35</v>
      </c>
      <c r="E9" s="24" t="s">
        <v>46</v>
      </c>
      <c r="M9" s="298" t="s">
        <v>260</v>
      </c>
      <c r="N9" s="318" t="s">
        <v>289</v>
      </c>
    </row>
    <row r="10" spans="1:15" x14ac:dyDescent="0.2">
      <c r="A10" s="223" t="s">
        <v>185</v>
      </c>
      <c r="B10" s="240">
        <v>4</v>
      </c>
      <c r="C10" s="296">
        <v>8</v>
      </c>
      <c r="D10" s="29">
        <v>40</v>
      </c>
      <c r="E10" s="24" t="s">
        <v>46</v>
      </c>
    </row>
    <row r="11" spans="1:15" ht="16.5" thickBot="1" x14ac:dyDescent="0.3">
      <c r="A11" s="223" t="s">
        <v>186</v>
      </c>
      <c r="B11" s="241">
        <v>8</v>
      </c>
      <c r="C11" s="29">
        <v>12</v>
      </c>
      <c r="D11" s="29" t="s">
        <v>46</v>
      </c>
      <c r="E11" s="24" t="s">
        <v>46</v>
      </c>
      <c r="K11" s="4"/>
      <c r="L11" s="4"/>
      <c r="M11" s="302" t="s">
        <v>272</v>
      </c>
      <c r="N11" s="315">
        <v>146365</v>
      </c>
    </row>
    <row r="12" spans="1:15" ht="14.25" thickTop="1" thickBot="1" x14ac:dyDescent="0.25">
      <c r="A12" s="14" t="s">
        <v>131</v>
      </c>
      <c r="B12" s="102" t="s">
        <v>46</v>
      </c>
      <c r="C12" s="30" t="s">
        <v>46</v>
      </c>
      <c r="D12" s="30" t="s">
        <v>46</v>
      </c>
      <c r="E12" s="25" t="s">
        <v>46</v>
      </c>
      <c r="J12" s="192">
        <v>2</v>
      </c>
      <c r="K12" s="4"/>
      <c r="M12" s="303"/>
    </row>
    <row r="13" spans="1:15" ht="14.25" thickTop="1" thickBot="1" x14ac:dyDescent="0.25">
      <c r="A13" s="254" t="s">
        <v>226</v>
      </c>
      <c r="K13" s="4"/>
    </row>
    <row r="14" spans="1:15" ht="14.25" thickTop="1" thickBot="1" x14ac:dyDescent="0.25">
      <c r="A14" s="2" t="s">
        <v>77</v>
      </c>
      <c r="C14" t="s">
        <v>78</v>
      </c>
      <c r="H14" s="105" t="s">
        <v>134</v>
      </c>
      <c r="J14" s="93">
        <v>15</v>
      </c>
      <c r="K14" s="4"/>
    </row>
    <row r="15" spans="1:15" s="4" customFormat="1" ht="14.25" thickTop="1" thickBot="1" x14ac:dyDescent="0.25">
      <c r="A15" s="7">
        <v>1</v>
      </c>
      <c r="C15" s="4" t="s">
        <v>133</v>
      </c>
      <c r="E15"/>
      <c r="F15"/>
    </row>
    <row r="16" spans="1:15" s="4" customFormat="1" ht="14.25" thickTop="1" thickBot="1" x14ac:dyDescent="0.25">
      <c r="A16" s="7" t="s">
        <v>48</v>
      </c>
      <c r="C16" s="4" t="s">
        <v>79</v>
      </c>
      <c r="E16"/>
      <c r="F16"/>
      <c r="H16" s="67" t="s">
        <v>10</v>
      </c>
      <c r="J16" s="135">
        <v>0</v>
      </c>
    </row>
    <row r="17" spans="1:10" s="4" customFormat="1" ht="9.75" thickTop="1" x14ac:dyDescent="0.15">
      <c r="A17" s="7">
        <v>2</v>
      </c>
      <c r="C17" s="4" t="s">
        <v>227</v>
      </c>
    </row>
    <row r="18" spans="1:10" s="4" customFormat="1" ht="9" x14ac:dyDescent="0.15">
      <c r="A18" s="7" t="s">
        <v>48</v>
      </c>
      <c r="C18" s="222" t="s">
        <v>183</v>
      </c>
    </row>
    <row r="19" spans="1:10" s="4" customFormat="1" ht="9" x14ac:dyDescent="0.15">
      <c r="A19" s="7">
        <v>3</v>
      </c>
      <c r="C19" s="4" t="s">
        <v>80</v>
      </c>
    </row>
    <row r="20" spans="1:10" s="4" customFormat="1" ht="9" x14ac:dyDescent="0.15">
      <c r="A20" s="7"/>
      <c r="C20" s="222" t="s">
        <v>184</v>
      </c>
    </row>
    <row r="21" spans="1:10" s="4" customFormat="1" ht="9" x14ac:dyDescent="0.15">
      <c r="A21" s="7"/>
      <c r="C21" s="4" t="s">
        <v>81</v>
      </c>
    </row>
    <row r="22" spans="1:10" s="4" customFormat="1" ht="9" x14ac:dyDescent="0.15">
      <c r="A22" s="7">
        <v>4</v>
      </c>
      <c r="C22" s="4" t="s">
        <v>82</v>
      </c>
    </row>
    <row r="23" spans="1:10" s="4" customFormat="1" ht="9" x14ac:dyDescent="0.15">
      <c r="A23" s="8"/>
      <c r="C23" s="4" t="s">
        <v>83</v>
      </c>
    </row>
    <row r="24" spans="1:10" s="4" customFormat="1" ht="9" x14ac:dyDescent="0.15">
      <c r="A24" s="8"/>
      <c r="C24" s="4" t="s">
        <v>84</v>
      </c>
    </row>
    <row r="25" spans="1:10" s="4" customFormat="1" ht="9" x14ac:dyDescent="0.15">
      <c r="C25" s="4" t="s">
        <v>48</v>
      </c>
    </row>
    <row r="26" spans="1:10" s="4" customFormat="1" ht="9" x14ac:dyDescent="0.15">
      <c r="A26" s="130" t="s">
        <v>119</v>
      </c>
    </row>
    <row r="27" spans="1:10" x14ac:dyDescent="0.2">
      <c r="A27" s="26" t="s">
        <v>91</v>
      </c>
      <c r="B27" s="20" t="s">
        <v>92</v>
      </c>
      <c r="C27" s="10"/>
      <c r="D27" s="10"/>
      <c r="E27" s="10"/>
      <c r="F27" s="22" t="s">
        <v>50</v>
      </c>
      <c r="G27" s="44"/>
      <c r="H27" s="44"/>
      <c r="I27" s="44"/>
    </row>
    <row r="28" spans="1:10" x14ac:dyDescent="0.2">
      <c r="A28" s="11"/>
      <c r="B28" s="12"/>
      <c r="C28" s="12"/>
      <c r="D28" s="12"/>
      <c r="E28" s="12"/>
      <c r="F28" s="24"/>
    </row>
    <row r="29" spans="1:10" ht="13.5" thickBot="1" x14ac:dyDescent="0.25">
      <c r="A29" s="100" t="s">
        <v>190</v>
      </c>
      <c r="B29" s="96" t="s">
        <v>101</v>
      </c>
      <c r="C29" s="96"/>
      <c r="D29" s="96"/>
      <c r="E29" s="96"/>
      <c r="F29" s="101">
        <v>0</v>
      </c>
    </row>
    <row r="30" spans="1:10" ht="14.25" thickTop="1" thickBot="1" x14ac:dyDescent="0.25">
      <c r="A30" s="14" t="s">
        <v>51</v>
      </c>
      <c r="B30" s="15" t="s">
        <v>85</v>
      </c>
      <c r="C30" s="15"/>
      <c r="D30" s="15"/>
      <c r="E30" s="15"/>
      <c r="F30" s="25">
        <v>15</v>
      </c>
      <c r="J30" s="93">
        <v>0</v>
      </c>
    </row>
    <row r="31" spans="1:10" ht="13.5" thickTop="1" x14ac:dyDescent="0.2">
      <c r="A31" t="s">
        <v>120</v>
      </c>
    </row>
    <row r="32" spans="1:10" ht="15" x14ac:dyDescent="0.25">
      <c r="A32" s="19" t="s">
        <v>60</v>
      </c>
      <c r="B32" s="319" t="s">
        <v>182</v>
      </c>
      <c r="C32" s="319"/>
      <c r="D32" s="21" t="s">
        <v>61</v>
      </c>
      <c r="E32" s="38" t="s">
        <v>19</v>
      </c>
      <c r="F32" s="40"/>
      <c r="G32" s="21" t="s">
        <v>53</v>
      </c>
      <c r="H32" s="22" t="s">
        <v>54</v>
      </c>
      <c r="J32" t="s">
        <v>48</v>
      </c>
    </row>
    <row r="33" spans="1:10" ht="15" x14ac:dyDescent="0.25">
      <c r="A33" s="16" t="s">
        <v>50</v>
      </c>
      <c r="B33" s="320"/>
      <c r="C33" s="320"/>
      <c r="D33" s="17">
        <v>0</v>
      </c>
      <c r="E33" s="39">
        <v>5</v>
      </c>
      <c r="F33" s="41"/>
      <c r="G33" s="17">
        <v>2.5</v>
      </c>
      <c r="H33" s="18">
        <v>1</v>
      </c>
      <c r="I33" t="s">
        <v>103</v>
      </c>
      <c r="J33" s="9"/>
    </row>
    <row r="34" spans="1:10" x14ac:dyDescent="0.2">
      <c r="A34" s="11" t="s">
        <v>11</v>
      </c>
      <c r="B34" s="12"/>
      <c r="C34" s="12"/>
      <c r="D34" s="97" t="s">
        <v>63</v>
      </c>
      <c r="E34" s="12" t="s">
        <v>93</v>
      </c>
      <c r="F34" s="12"/>
      <c r="G34" s="29" t="s">
        <v>64</v>
      </c>
      <c r="H34" s="24" t="s">
        <v>65</v>
      </c>
      <c r="I34" s="94">
        <v>0</v>
      </c>
      <c r="J34" s="9"/>
    </row>
    <row r="35" spans="1:10" x14ac:dyDescent="0.2">
      <c r="A35" s="11" t="s">
        <v>62</v>
      </c>
      <c r="B35" s="12"/>
      <c r="C35" s="12"/>
      <c r="D35" s="97" t="s">
        <v>63</v>
      </c>
      <c r="E35" s="12" t="s">
        <v>94</v>
      </c>
      <c r="F35" s="12"/>
      <c r="G35" s="29" t="s">
        <v>72</v>
      </c>
      <c r="H35" s="24" t="s">
        <v>73</v>
      </c>
      <c r="I35" s="94">
        <v>0</v>
      </c>
      <c r="J35" s="9"/>
    </row>
    <row r="36" spans="1:10" x14ac:dyDescent="0.2">
      <c r="A36" s="11" t="s">
        <v>56</v>
      </c>
      <c r="B36" s="12"/>
      <c r="C36" s="12"/>
      <c r="D36" s="97" t="s">
        <v>63</v>
      </c>
      <c r="E36" s="12" t="s">
        <v>95</v>
      </c>
      <c r="F36" s="12"/>
      <c r="G36" s="29" t="s">
        <v>67</v>
      </c>
      <c r="H36" s="24" t="s">
        <v>65</v>
      </c>
      <c r="I36" s="94">
        <v>0</v>
      </c>
      <c r="J36" s="9"/>
    </row>
    <row r="37" spans="1:10" x14ac:dyDescent="0.2">
      <c r="A37" s="11" t="s">
        <v>68</v>
      </c>
      <c r="B37" s="12"/>
      <c r="C37" s="12"/>
      <c r="D37" s="97" t="s">
        <v>63</v>
      </c>
      <c r="E37" s="12" t="s">
        <v>96</v>
      </c>
      <c r="F37" s="12"/>
      <c r="G37" s="29" t="s">
        <v>69</v>
      </c>
      <c r="H37" s="24" t="s">
        <v>70</v>
      </c>
      <c r="I37" s="94">
        <v>0</v>
      </c>
      <c r="J37" s="9"/>
    </row>
    <row r="38" spans="1:10" x14ac:dyDescent="0.2">
      <c r="A38" s="11" t="s">
        <v>57</v>
      </c>
      <c r="B38" s="12"/>
      <c r="C38" s="12"/>
      <c r="D38" s="97" t="s">
        <v>63</v>
      </c>
      <c r="E38" s="95">
        <v>0.25</v>
      </c>
      <c r="F38" s="12"/>
      <c r="G38" s="29" t="s">
        <v>66</v>
      </c>
      <c r="H38" s="78">
        <v>0.1</v>
      </c>
      <c r="I38" s="94">
        <v>0</v>
      </c>
      <c r="J38" s="9"/>
    </row>
    <row r="39" spans="1:10" x14ac:dyDescent="0.2">
      <c r="A39" s="11" t="s">
        <v>12</v>
      </c>
      <c r="B39" s="12"/>
      <c r="C39" s="12"/>
      <c r="D39" s="97" t="s">
        <v>63</v>
      </c>
      <c r="E39" s="12" t="s">
        <v>97</v>
      </c>
      <c r="F39" s="12"/>
      <c r="G39" s="29" t="s">
        <v>17</v>
      </c>
      <c r="H39" s="24" t="s">
        <v>71</v>
      </c>
      <c r="I39" s="94">
        <v>0</v>
      </c>
      <c r="J39" s="9"/>
    </row>
    <row r="40" spans="1:10" x14ac:dyDescent="0.2">
      <c r="A40" s="11" t="s">
        <v>58</v>
      </c>
      <c r="B40" s="12"/>
      <c r="C40" s="12"/>
      <c r="D40" s="97" t="s">
        <v>63</v>
      </c>
      <c r="E40" s="12" t="s">
        <v>98</v>
      </c>
      <c r="F40" s="12"/>
      <c r="G40" s="29" t="s">
        <v>18</v>
      </c>
      <c r="H40" s="24" t="s">
        <v>75</v>
      </c>
      <c r="I40" s="94">
        <v>0</v>
      </c>
      <c r="J40" s="9"/>
    </row>
    <row r="41" spans="1:10" x14ac:dyDescent="0.2">
      <c r="A41" s="11" t="s">
        <v>59</v>
      </c>
      <c r="B41" s="12"/>
      <c r="C41" s="12"/>
      <c r="D41" s="97"/>
      <c r="E41" s="12" t="s">
        <v>99</v>
      </c>
      <c r="F41" s="12"/>
      <c r="G41" s="29" t="s">
        <v>18</v>
      </c>
      <c r="H41" s="24" t="s">
        <v>65</v>
      </c>
      <c r="I41" s="94">
        <v>0</v>
      </c>
      <c r="J41" s="9"/>
    </row>
    <row r="42" spans="1:10" ht="13.5" thickBot="1" x14ac:dyDescent="0.25">
      <c r="A42" s="11" t="s">
        <v>55</v>
      </c>
      <c r="B42" s="12"/>
      <c r="C42" s="12"/>
      <c r="D42" s="97" t="s">
        <v>63</v>
      </c>
      <c r="E42" s="12" t="s">
        <v>100</v>
      </c>
      <c r="F42" s="12"/>
      <c r="G42" s="29" t="s">
        <v>74</v>
      </c>
      <c r="H42" s="24" t="s">
        <v>74</v>
      </c>
      <c r="I42" s="94">
        <v>0</v>
      </c>
      <c r="J42" s="9"/>
    </row>
    <row r="43" spans="1:10" ht="14.25" thickTop="1" thickBot="1" x14ac:dyDescent="0.25">
      <c r="A43" s="14"/>
      <c r="B43" s="15"/>
      <c r="C43" s="15"/>
      <c r="D43" s="15"/>
      <c r="E43" s="47" t="s">
        <v>104</v>
      </c>
      <c r="F43" s="15"/>
      <c r="G43" s="15"/>
      <c r="H43" s="35"/>
      <c r="I43" s="179">
        <f>SUM(I34:I42)</f>
        <v>0</v>
      </c>
      <c r="J43" s="180">
        <v>0</v>
      </c>
    </row>
    <row r="44" spans="1:10" ht="14.25" thickTop="1" thickBot="1" x14ac:dyDescent="0.25">
      <c r="A44" s="132" t="s">
        <v>122</v>
      </c>
    </row>
    <row r="45" spans="1:10" ht="13.5" thickBot="1" x14ac:dyDescent="0.25">
      <c r="A45" s="125" t="s">
        <v>113</v>
      </c>
      <c r="B45" s="126"/>
      <c r="C45" s="126"/>
      <c r="D45" s="126"/>
      <c r="E45" s="126"/>
      <c r="F45" s="126"/>
      <c r="G45" s="127" t="s">
        <v>50</v>
      </c>
      <c r="I45" s="6"/>
      <c r="J45" s="6"/>
    </row>
    <row r="46" spans="1:10" ht="14.25" thickTop="1" thickBot="1" x14ac:dyDescent="0.25">
      <c r="A46" s="122" t="s">
        <v>114</v>
      </c>
      <c r="B46" s="123"/>
      <c r="C46" s="123"/>
      <c r="D46" s="123"/>
      <c r="E46" s="123"/>
      <c r="F46" s="123"/>
      <c r="G46" s="124">
        <v>-10</v>
      </c>
      <c r="I46" s="6"/>
      <c r="J46" s="93">
        <v>0</v>
      </c>
    </row>
    <row r="47" spans="1:10" ht="14.25" thickTop="1" thickBot="1" x14ac:dyDescent="0.25">
      <c r="A47" s="119" t="s">
        <v>51</v>
      </c>
      <c r="B47" s="120"/>
      <c r="C47" s="120"/>
      <c r="D47" s="120"/>
      <c r="E47" s="120"/>
      <c r="F47" s="120"/>
      <c r="G47" s="121">
        <v>0</v>
      </c>
      <c r="I47" s="6"/>
      <c r="J47" s="6"/>
    </row>
    <row r="48" spans="1:10" x14ac:dyDescent="0.2">
      <c r="J48" s="44"/>
    </row>
    <row r="50" spans="8:10" ht="13.5" thickBot="1" x14ac:dyDescent="0.25"/>
    <row r="51" spans="8:10" ht="15.75" thickBot="1" x14ac:dyDescent="0.25">
      <c r="H51" s="46" t="s">
        <v>102</v>
      </c>
      <c r="J51" s="136">
        <f>J46+J43+J30+J16+J14+J12+J8</f>
        <v>17</v>
      </c>
    </row>
  </sheetData>
  <mergeCells count="1">
    <mergeCell ref="B32:C33"/>
  </mergeCells>
  <phoneticPr fontId="4" type="noConversion"/>
  <pageMargins left="0.1" right="0.1" top="0.01" bottom="0" header="0.5" footer="0"/>
  <pageSetup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3:P31"/>
  <sheetViews>
    <sheetView tabSelected="1" topLeftCell="A2" workbookViewId="0">
      <selection activeCell="E7" sqref="E7"/>
    </sheetView>
  </sheetViews>
  <sheetFormatPr defaultColWidth="8.85546875" defaultRowHeight="12.75" x14ac:dyDescent="0.2"/>
  <cols>
    <col min="1" max="1" width="27.85546875" bestFit="1" customWidth="1"/>
    <col min="2" max="2" width="14.28515625" bestFit="1" customWidth="1"/>
    <col min="3" max="4" width="12.140625" customWidth="1"/>
    <col min="5" max="5" width="6" bestFit="1" customWidth="1"/>
    <col min="6" max="6" width="16.7109375" bestFit="1" customWidth="1"/>
    <col min="7" max="7" width="13.140625" customWidth="1"/>
    <col min="8" max="8" width="16.140625" customWidth="1"/>
    <col min="9" max="9" width="15.140625" customWidth="1"/>
    <col min="10" max="11" width="11.42578125" customWidth="1"/>
    <col min="12" max="12" width="16.7109375" bestFit="1" customWidth="1"/>
    <col min="13" max="13" width="19.42578125" customWidth="1"/>
    <col min="14" max="14" width="18.140625" customWidth="1"/>
  </cols>
  <sheetData>
    <row r="3" spans="1:14" ht="13.5" thickBot="1" x14ac:dyDescent="0.25"/>
    <row r="4" spans="1:14" ht="15.75" x14ac:dyDescent="0.25">
      <c r="A4" s="295" t="s">
        <v>115</v>
      </c>
      <c r="B4" s="168"/>
      <c r="C4" s="168"/>
      <c r="D4" s="168"/>
      <c r="E4" s="169" t="s">
        <v>117</v>
      </c>
      <c r="F4" s="169" t="s">
        <v>118</v>
      </c>
      <c r="G4" s="169" t="s">
        <v>119</v>
      </c>
      <c r="H4" s="169" t="s">
        <v>120</v>
      </c>
      <c r="I4" s="169" t="s">
        <v>121</v>
      </c>
      <c r="J4" s="169" t="s">
        <v>122</v>
      </c>
      <c r="K4" s="169" t="s">
        <v>127</v>
      </c>
      <c r="L4" s="169" t="s">
        <v>213</v>
      </c>
      <c r="M4" s="169" t="s">
        <v>212</v>
      </c>
      <c r="N4" s="170" t="s">
        <v>211</v>
      </c>
    </row>
    <row r="5" spans="1:14" ht="15.75" x14ac:dyDescent="0.25">
      <c r="A5" s="171"/>
      <c r="B5" s="160"/>
      <c r="C5" s="293" t="s">
        <v>193</v>
      </c>
      <c r="D5" s="293" t="s">
        <v>271</v>
      </c>
      <c r="E5" s="293" t="s">
        <v>195</v>
      </c>
      <c r="F5" s="293" t="s">
        <v>194</v>
      </c>
      <c r="G5" s="293" t="s">
        <v>200</v>
      </c>
      <c r="H5" s="293" t="s">
        <v>196</v>
      </c>
      <c r="I5" s="293" t="s">
        <v>197</v>
      </c>
      <c r="J5" s="293" t="s">
        <v>198</v>
      </c>
      <c r="K5" s="293" t="s">
        <v>128</v>
      </c>
      <c r="L5" s="294" t="s">
        <v>199</v>
      </c>
      <c r="M5" s="160"/>
      <c r="N5" s="172"/>
    </row>
    <row r="6" spans="1:14" ht="15.75" x14ac:dyDescent="0.25">
      <c r="A6" s="290" t="s">
        <v>191</v>
      </c>
      <c r="B6" s="162">
        <f>'Risk worksheet'!N3</f>
        <v>200000</v>
      </c>
      <c r="C6" s="292" t="s">
        <v>192</v>
      </c>
      <c r="D6" s="226">
        <f>B9/B10</f>
        <v>0.81552966897823931</v>
      </c>
      <c r="F6" s="225">
        <f>'Risk worksheet'!N8</f>
        <v>2</v>
      </c>
      <c r="H6" s="227" t="str">
        <f>IF(AND($H$11&gt;16,$H$11&lt;=20),"RISKY","")</f>
        <v/>
      </c>
      <c r="I6" s="224" t="str">
        <f>IF(I11=I19,"NO","YES")</f>
        <v>YES</v>
      </c>
      <c r="J6" s="224" t="str">
        <f>IF(J11=J19,"NO","YES")</f>
        <v>NO</v>
      </c>
      <c r="K6" s="224" t="str">
        <f>IF(K11=K19,"NO","YES")</f>
        <v>NO</v>
      </c>
      <c r="L6" s="164"/>
      <c r="M6" s="165"/>
      <c r="N6" s="174"/>
    </row>
    <row r="7" spans="1:14" ht="15.75" x14ac:dyDescent="0.25">
      <c r="A7" s="290" t="s">
        <v>116</v>
      </c>
      <c r="B7" s="162">
        <f>'Risk worksheet'!N4</f>
        <v>141908</v>
      </c>
      <c r="C7" s="226">
        <f>B7/B6</f>
        <v>0.70953999999999995</v>
      </c>
      <c r="D7" s="226"/>
      <c r="F7" s="226">
        <f>B9/B6</f>
        <v>0.59682500000000005</v>
      </c>
      <c r="G7" s="164"/>
      <c r="H7" s="230" t="str">
        <f>IF(AND($H$11&gt;12,$H$11&lt;=16),"BAD","")</f>
        <v/>
      </c>
      <c r="I7" s="164"/>
      <c r="J7" s="164"/>
      <c r="K7" s="164"/>
      <c r="L7" s="161"/>
      <c r="M7" s="165"/>
      <c r="N7" s="175"/>
    </row>
    <row r="8" spans="1:14" ht="15.75" x14ac:dyDescent="0.25">
      <c r="A8" s="290" t="s">
        <v>187</v>
      </c>
      <c r="B8" s="162" t="str">
        <f>'Risk worksheet'!N5</f>
        <v>STAR</v>
      </c>
      <c r="C8" s="162"/>
      <c r="D8" s="314"/>
      <c r="E8" s="225">
        <f>'Risk worksheet'!N7</f>
        <v>682</v>
      </c>
      <c r="G8" s="224" t="str">
        <f>IF(G11=G19,"YES","NO")</f>
        <v>YES</v>
      </c>
      <c r="H8" s="228" t="str">
        <f>IF(AND($H$11&gt;8,$H$11&lt;=12),"Fair","")</f>
        <v/>
      </c>
      <c r="I8" s="164"/>
      <c r="J8" s="164"/>
      <c r="K8" s="164"/>
      <c r="L8" s="161"/>
      <c r="M8" s="165"/>
      <c r="N8" s="175"/>
    </row>
    <row r="9" spans="1:14" ht="15.75" x14ac:dyDescent="0.25">
      <c r="A9" s="291" t="s">
        <v>201</v>
      </c>
      <c r="B9" s="162">
        <f>'Risk worksheet'!N6</f>
        <v>119365</v>
      </c>
      <c r="E9" s="164"/>
      <c r="F9" s="163"/>
      <c r="G9" s="164"/>
      <c r="H9" s="229" t="str">
        <f>IF(AND($H$11&gt;3,$H$11&lt;=8),"GOOD","")</f>
        <v/>
      </c>
      <c r="I9" s="164"/>
      <c r="J9" s="164"/>
      <c r="K9" s="164"/>
      <c r="L9" s="161"/>
      <c r="M9" s="177">
        <f>Matrix!P34</f>
        <v>0.04</v>
      </c>
      <c r="N9" s="231">
        <f>'Risk worksheet'!J3-M9</f>
        <v>1.9999999999999997E-2</v>
      </c>
    </row>
    <row r="10" spans="1:14" ht="15.75" x14ac:dyDescent="0.25">
      <c r="A10" s="290" t="str">
        <f>'Risk worksheet'!M11</f>
        <v>Total Costs Before Debt</v>
      </c>
      <c r="B10" s="306">
        <f>'Risk worksheet'!N11</f>
        <v>146365</v>
      </c>
      <c r="E10" s="164"/>
      <c r="F10" s="166"/>
      <c r="G10" s="164"/>
      <c r="H10" s="229" t="str">
        <f>IF(AND($H$11&gt;=0,$H$11&lt;=3),"PERFECT","")</f>
        <v>PERFECT</v>
      </c>
      <c r="I10" s="164"/>
      <c r="J10" s="164"/>
      <c r="K10" s="164"/>
      <c r="L10" s="161"/>
      <c r="M10" s="177">
        <f>Matrix!Q34+Matrix!R34</f>
        <v>8.7499999999999994E-2</v>
      </c>
      <c r="N10" s="231">
        <f>'Risk worksheet'!J4-M10</f>
        <v>0</v>
      </c>
    </row>
    <row r="11" spans="1:14" ht="16.5" thickBot="1" x14ac:dyDescent="0.3">
      <c r="A11" s="157" t="s">
        <v>214</v>
      </c>
      <c r="B11" s="176">
        <f>SUM('Risk worksheet'!J3:J4)</f>
        <v>0.14749999999999999</v>
      </c>
      <c r="C11" s="158"/>
      <c r="D11" s="158"/>
      <c r="E11" s="159">
        <f>'Risk worksheet'!J8</f>
        <v>0</v>
      </c>
      <c r="F11" s="159">
        <f>'Risk worksheet'!J12</f>
        <v>2</v>
      </c>
      <c r="G11" s="159">
        <f>'Risk worksheet'!J30</f>
        <v>0</v>
      </c>
      <c r="H11" s="159">
        <f>'Risk worksheet'!J43</f>
        <v>0</v>
      </c>
      <c r="I11" s="159">
        <f>'Risk worksheet'!J14</f>
        <v>15</v>
      </c>
      <c r="J11" s="159">
        <f>'Risk worksheet'!J46</f>
        <v>0</v>
      </c>
      <c r="K11" s="159">
        <f>'Risk worksheet'!J16</f>
        <v>0</v>
      </c>
      <c r="L11" s="159">
        <f>SUM(E11:K11)</f>
        <v>17</v>
      </c>
      <c r="M11" s="176">
        <f>SUM(M9:M10)</f>
        <v>0.1275</v>
      </c>
      <c r="N11" s="237">
        <f>B11-M11</f>
        <v>1.999999999999999E-2</v>
      </c>
    </row>
    <row r="12" spans="1:14" x14ac:dyDescent="0.2">
      <c r="N12" s="129"/>
    </row>
    <row r="14" spans="1:14" x14ac:dyDescent="0.2">
      <c r="N14" t="s">
        <v>217</v>
      </c>
    </row>
    <row r="16" spans="1:14" x14ac:dyDescent="0.2">
      <c r="E16" s="2"/>
    </row>
    <row r="17" spans="7:16" ht="15" x14ac:dyDescent="0.2">
      <c r="G17" s="321" t="s">
        <v>205</v>
      </c>
      <c r="H17" s="321"/>
      <c r="I17" s="321"/>
      <c r="J17" s="321"/>
      <c r="K17" s="321"/>
      <c r="N17" s="129"/>
      <c r="P17" s="131"/>
    </row>
    <row r="18" spans="7:16" x14ac:dyDescent="0.2">
      <c r="G18" s="232" t="s">
        <v>203</v>
      </c>
      <c r="H18" s="232" t="s">
        <v>196</v>
      </c>
      <c r="I18" s="232" t="s">
        <v>202</v>
      </c>
      <c r="J18" s="232" t="s">
        <v>198</v>
      </c>
      <c r="K18" s="232" t="s">
        <v>128</v>
      </c>
    </row>
    <row r="19" spans="7:16" x14ac:dyDescent="0.2">
      <c r="G19" s="129">
        <v>0</v>
      </c>
      <c r="H19" s="129" t="s">
        <v>206</v>
      </c>
      <c r="I19" s="182">
        <v>0</v>
      </c>
      <c r="J19" s="129">
        <v>0</v>
      </c>
      <c r="K19" s="182">
        <v>0</v>
      </c>
    </row>
    <row r="20" spans="7:16" x14ac:dyDescent="0.2">
      <c r="H20" s="129" t="s">
        <v>207</v>
      </c>
      <c r="I20" s="9"/>
      <c r="J20" s="9"/>
      <c r="K20" s="9"/>
    </row>
    <row r="21" spans="7:16" x14ac:dyDescent="0.2">
      <c r="H21" s="129" t="s">
        <v>208</v>
      </c>
      <c r="I21" s="9"/>
      <c r="J21" s="9"/>
      <c r="K21" s="9"/>
    </row>
    <row r="22" spans="7:16" x14ac:dyDescent="0.2">
      <c r="H22" s="129" t="s">
        <v>209</v>
      </c>
      <c r="I22" s="9"/>
      <c r="J22" s="9"/>
      <c r="K22" s="9"/>
    </row>
    <row r="23" spans="7:16" x14ac:dyDescent="0.2">
      <c r="H23" s="129" t="s">
        <v>210</v>
      </c>
      <c r="I23" s="9"/>
      <c r="J23" s="9"/>
      <c r="K23" s="9"/>
    </row>
    <row r="24" spans="7:16" x14ac:dyDescent="0.2">
      <c r="I24" s="9"/>
      <c r="J24" s="9"/>
      <c r="K24" s="9"/>
    </row>
    <row r="25" spans="7:16" x14ac:dyDescent="0.2">
      <c r="G25" s="1"/>
      <c r="I25" s="91"/>
      <c r="J25" s="9"/>
      <c r="K25" s="9"/>
    </row>
    <row r="26" spans="7:16" x14ac:dyDescent="0.2">
      <c r="I26" s="9"/>
      <c r="J26" s="9"/>
      <c r="K26" s="9"/>
    </row>
    <row r="27" spans="7:16" x14ac:dyDescent="0.2">
      <c r="I27" s="9"/>
      <c r="J27" s="9"/>
      <c r="K27" s="9"/>
    </row>
    <row r="28" spans="7:16" x14ac:dyDescent="0.2">
      <c r="I28" s="9"/>
      <c r="J28" s="9"/>
      <c r="K28" s="9"/>
    </row>
    <row r="29" spans="7:16" x14ac:dyDescent="0.2">
      <c r="I29" s="9"/>
      <c r="J29" s="9"/>
      <c r="K29" s="9"/>
    </row>
    <row r="30" spans="7:16" x14ac:dyDescent="0.2">
      <c r="I30" s="9"/>
      <c r="J30" s="9"/>
      <c r="K30" s="9"/>
    </row>
    <row r="31" spans="7:16" x14ac:dyDescent="0.2">
      <c r="I31" s="9"/>
      <c r="J31" s="9"/>
      <c r="K31" s="9"/>
    </row>
  </sheetData>
  <mergeCells count="1">
    <mergeCell ref="G17:K17"/>
  </mergeCells>
  <phoneticPr fontId="4" type="noConversion"/>
  <pageMargins left="0.75" right="0.75" top="1" bottom="1" header="0.5" footer="0.5"/>
  <pageSetup paperSize="5" scale="77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1" r:id="rId4" name="Button 9">
              <controlPr defaultSize="0" print="0" autoFill="0" autoPict="0" macro="[0]!SOLVEINTOMATRIX">
                <anchor moveWithCells="1" sizeWithCells="1">
                  <from>
                    <xdr:col>15</xdr:col>
                    <xdr:colOff>38100</xdr:colOff>
                    <xdr:row>8</xdr:row>
                    <xdr:rowOff>38100</xdr:rowOff>
                  </from>
                  <to>
                    <xdr:col>16</xdr:col>
                    <xdr:colOff>400050</xdr:colOff>
                    <xdr:row>10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2:AC98"/>
  <sheetViews>
    <sheetView topLeftCell="C1" zoomScale="80" zoomScaleNormal="80" workbookViewId="0">
      <selection activeCell="Z62" sqref="Z62"/>
    </sheetView>
  </sheetViews>
  <sheetFormatPr defaultColWidth="11.42578125" defaultRowHeight="12.75" x14ac:dyDescent="0.2"/>
  <cols>
    <col min="1" max="1" width="9.140625" customWidth="1"/>
    <col min="2" max="2" width="14.5703125" bestFit="1" customWidth="1"/>
    <col min="3" max="3" width="6.7109375" bestFit="1" customWidth="1"/>
    <col min="4" max="4" width="7.7109375" bestFit="1" customWidth="1"/>
    <col min="5" max="5" width="25.42578125" customWidth="1"/>
    <col min="6" max="8" width="11.42578125" customWidth="1"/>
    <col min="9" max="9" width="12" customWidth="1"/>
    <col min="10" max="10" width="12.28515625" customWidth="1"/>
    <col min="11" max="12" width="11.42578125" customWidth="1"/>
    <col min="13" max="13" width="13" customWidth="1"/>
    <col min="14" max="16" width="11.42578125" customWidth="1"/>
    <col min="17" max="17" width="2.7109375" customWidth="1"/>
    <col min="22" max="22" width="15.85546875" bestFit="1" customWidth="1"/>
    <col min="27" max="28" width="15.140625" bestFit="1" customWidth="1"/>
    <col min="29" max="29" width="13.42578125" bestFit="1" customWidth="1"/>
  </cols>
  <sheetData>
    <row r="2" spans="1:28" x14ac:dyDescent="0.2">
      <c r="E2" s="6"/>
    </row>
    <row r="3" spans="1:28" x14ac:dyDescent="0.2">
      <c r="E3" s="6" t="s">
        <v>136</v>
      </c>
    </row>
    <row r="4" spans="1:28" ht="25.5" x14ac:dyDescent="0.2">
      <c r="F4" s="185" t="s">
        <v>137</v>
      </c>
      <c r="G4" s="185" t="s">
        <v>139</v>
      </c>
      <c r="H4" s="185" t="s">
        <v>141</v>
      </c>
      <c r="I4" s="185" t="s">
        <v>60</v>
      </c>
      <c r="J4" s="185" t="s">
        <v>140</v>
      </c>
      <c r="K4" s="185" t="s">
        <v>142</v>
      </c>
      <c r="L4" s="185" t="s">
        <v>138</v>
      </c>
      <c r="M4" s="185" t="s">
        <v>144</v>
      </c>
      <c r="N4" s="185" t="s">
        <v>143</v>
      </c>
      <c r="O4" s="185" t="s">
        <v>145</v>
      </c>
      <c r="P4" s="185" t="s">
        <v>165</v>
      </c>
      <c r="R4" s="193" t="s">
        <v>161</v>
      </c>
      <c r="S4" s="193" t="s">
        <v>160</v>
      </c>
      <c r="T4" s="193" t="s">
        <v>162</v>
      </c>
      <c r="U4" s="247" t="s">
        <v>222</v>
      </c>
      <c r="V4" s="305" t="s">
        <v>223</v>
      </c>
      <c r="Z4" s="304" t="s">
        <v>271</v>
      </c>
      <c r="AA4" s="304" t="s">
        <v>273</v>
      </c>
      <c r="AB4" s="304" t="s">
        <v>274</v>
      </c>
    </row>
    <row r="5" spans="1:28" x14ac:dyDescent="0.2">
      <c r="E5" t="s">
        <v>146</v>
      </c>
      <c r="F5" s="208">
        <v>4</v>
      </c>
      <c r="G5" s="208">
        <v>8</v>
      </c>
      <c r="H5" s="208">
        <v>5</v>
      </c>
      <c r="I5" s="208">
        <v>3</v>
      </c>
      <c r="J5" s="208">
        <v>15</v>
      </c>
      <c r="K5" s="208">
        <v>0</v>
      </c>
      <c r="L5" s="208">
        <v>0</v>
      </c>
      <c r="M5" s="208">
        <f>SUM(F5:L5)</f>
        <v>35</v>
      </c>
      <c r="N5" s="268">
        <v>9.2499999999999999E-2</v>
      </c>
      <c r="O5" s="268">
        <v>0.04</v>
      </c>
      <c r="P5" s="268">
        <f>N5+O5</f>
        <v>0.13250000000000001</v>
      </c>
      <c r="U5" s="129"/>
    </row>
    <row r="6" spans="1:28" x14ac:dyDescent="0.2">
      <c r="U6" s="129"/>
    </row>
    <row r="7" spans="1:28" x14ac:dyDescent="0.2">
      <c r="A7" s="189" t="s">
        <v>147</v>
      </c>
      <c r="B7" s="189" t="s">
        <v>224</v>
      </c>
      <c r="C7" s="189" t="s">
        <v>158</v>
      </c>
      <c r="D7" s="189" t="s">
        <v>159</v>
      </c>
      <c r="E7" s="189" t="s">
        <v>148</v>
      </c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R7" s="190"/>
      <c r="S7" s="190"/>
      <c r="T7" s="190"/>
      <c r="U7" s="129"/>
      <c r="V7" s="190"/>
      <c r="Z7" s="190"/>
      <c r="AA7" s="190"/>
      <c r="AB7" s="190"/>
    </row>
    <row r="8" spans="1:28" ht="15" x14ac:dyDescent="0.25">
      <c r="A8" s="265">
        <f t="shared" ref="A8:A20" si="0">A9+1</f>
        <v>340</v>
      </c>
      <c r="B8" s="248">
        <v>141908</v>
      </c>
      <c r="C8" s="195">
        <v>0.70953999999999995</v>
      </c>
      <c r="D8" s="195">
        <v>0.6</v>
      </c>
      <c r="E8" s="318" t="s">
        <v>289</v>
      </c>
      <c r="F8">
        <v>0</v>
      </c>
      <c r="G8">
        <v>2</v>
      </c>
      <c r="H8">
        <v>0</v>
      </c>
      <c r="I8" s="9">
        <v>0</v>
      </c>
      <c r="J8" s="36">
        <v>15</v>
      </c>
      <c r="K8" s="36">
        <v>0</v>
      </c>
      <c r="L8" s="9">
        <v>0</v>
      </c>
      <c r="M8" s="9">
        <f t="shared" ref="M8:M26" si="1">SUM(F8:L8)</f>
        <v>17</v>
      </c>
      <c r="N8" s="197">
        <v>8.7499999999999994E-2</v>
      </c>
      <c r="O8" s="196">
        <v>0.04</v>
      </c>
      <c r="P8" s="198">
        <v>0.1275</v>
      </c>
      <c r="R8" s="242">
        <v>8.7499999999999994E-2</v>
      </c>
      <c r="S8" s="196">
        <v>0.06</v>
      </c>
      <c r="T8" s="243">
        <v>0.14749999999999999</v>
      </c>
      <c r="U8" s="129"/>
      <c r="V8" s="317">
        <f>(B8*T8)-(B8*P8)</f>
        <v>2838.16</v>
      </c>
      <c r="Z8" s="44">
        <f t="shared" ref="Z8:Z11" si="2">AB8/AA8</f>
        <v>0.81552966897823931</v>
      </c>
      <c r="AA8" s="310">
        <f>146365</f>
        <v>146365</v>
      </c>
      <c r="AB8" s="310">
        <v>119365</v>
      </c>
    </row>
    <row r="9" spans="1:28" ht="15" x14ac:dyDescent="0.25">
      <c r="A9" s="265">
        <f t="shared" si="0"/>
        <v>339</v>
      </c>
      <c r="B9" s="248">
        <v>314377</v>
      </c>
      <c r="C9" s="195">
        <v>0.78203233830845775</v>
      </c>
      <c r="D9" s="195">
        <v>0.67</v>
      </c>
      <c r="E9" s="318" t="s">
        <v>288</v>
      </c>
      <c r="F9">
        <v>0</v>
      </c>
      <c r="G9">
        <v>2</v>
      </c>
      <c r="H9">
        <v>0</v>
      </c>
      <c r="I9">
        <v>0</v>
      </c>
      <c r="J9" s="9">
        <v>0</v>
      </c>
      <c r="K9" s="36">
        <v>0</v>
      </c>
      <c r="L9" s="36">
        <v>0</v>
      </c>
      <c r="M9" s="9">
        <f t="shared" si="1"/>
        <v>2</v>
      </c>
      <c r="N9" s="197">
        <v>8.2500000000000004E-2</v>
      </c>
      <c r="O9" s="196">
        <v>0.03</v>
      </c>
      <c r="P9" s="198">
        <v>0.1125</v>
      </c>
      <c r="R9" s="242">
        <v>0.08</v>
      </c>
      <c r="S9" s="196">
        <v>0.05</v>
      </c>
      <c r="T9" s="243">
        <v>0.13</v>
      </c>
      <c r="U9" s="129"/>
      <c r="V9" s="317">
        <f t="shared" ref="V9:V22" si="3">(B9*T9)-(B9*P9)</f>
        <v>5501.5975000000035</v>
      </c>
      <c r="Z9" s="301">
        <f t="shared" si="2"/>
        <v>1</v>
      </c>
      <c r="AA9" s="306">
        <v>269865</v>
      </c>
      <c r="AB9" s="306">
        <v>269865</v>
      </c>
    </row>
    <row r="10" spans="1:28" ht="15" x14ac:dyDescent="0.25">
      <c r="A10" s="265">
        <f t="shared" si="0"/>
        <v>338</v>
      </c>
      <c r="B10" s="248">
        <v>329521</v>
      </c>
      <c r="C10" s="195">
        <v>0.78457380952380951</v>
      </c>
      <c r="D10" s="195">
        <v>0.67</v>
      </c>
      <c r="E10" s="318" t="s">
        <v>287</v>
      </c>
      <c r="F10">
        <v>0</v>
      </c>
      <c r="G10">
        <v>2</v>
      </c>
      <c r="H10">
        <v>0</v>
      </c>
      <c r="I10">
        <v>0</v>
      </c>
      <c r="J10" s="9">
        <v>15</v>
      </c>
      <c r="K10" s="36">
        <v>0</v>
      </c>
      <c r="L10" s="36">
        <v>0</v>
      </c>
      <c r="M10" s="9">
        <f t="shared" si="1"/>
        <v>17</v>
      </c>
      <c r="N10" s="197">
        <v>8.7499999999999994E-2</v>
      </c>
      <c r="O10" s="196">
        <v>0.04</v>
      </c>
      <c r="P10" s="198">
        <v>0.1275</v>
      </c>
      <c r="R10" s="242">
        <v>0.08</v>
      </c>
      <c r="S10" s="196">
        <v>0.05</v>
      </c>
      <c r="T10" s="243">
        <v>0.13</v>
      </c>
      <c r="U10" s="129"/>
      <c r="V10" s="317">
        <f t="shared" si="3"/>
        <v>823.80250000000524</v>
      </c>
      <c r="Z10" s="301">
        <f t="shared" si="2"/>
        <v>1</v>
      </c>
      <c r="AA10" s="306">
        <v>282865</v>
      </c>
      <c r="AB10" s="306">
        <v>282865</v>
      </c>
    </row>
    <row r="11" spans="1:28" ht="15" x14ac:dyDescent="0.25">
      <c r="A11" s="265">
        <f t="shared" si="0"/>
        <v>337</v>
      </c>
      <c r="B11" s="248">
        <v>191400</v>
      </c>
      <c r="C11" s="195">
        <v>0.75058823529411767</v>
      </c>
      <c r="D11" s="195">
        <v>0.63</v>
      </c>
      <c r="E11" s="318" t="s">
        <v>286</v>
      </c>
      <c r="F11">
        <v>6</v>
      </c>
      <c r="G11">
        <v>2</v>
      </c>
      <c r="H11">
        <v>0</v>
      </c>
      <c r="I11">
        <v>0</v>
      </c>
      <c r="J11">
        <v>15</v>
      </c>
      <c r="K11" s="9">
        <v>0</v>
      </c>
      <c r="L11" s="36">
        <v>0</v>
      </c>
      <c r="M11" s="9">
        <f t="shared" si="1"/>
        <v>23</v>
      </c>
      <c r="N11" s="197">
        <v>8.7499999999999994E-2</v>
      </c>
      <c r="O11" s="196">
        <v>0.04</v>
      </c>
      <c r="P11" s="198">
        <v>0.1275</v>
      </c>
      <c r="R11" s="242">
        <v>0.09</v>
      </c>
      <c r="S11" s="196">
        <v>0.06</v>
      </c>
      <c r="T11" s="243">
        <v>0.15</v>
      </c>
      <c r="U11" s="129"/>
      <c r="V11" s="317">
        <f t="shared" si="3"/>
        <v>4306.5</v>
      </c>
      <c r="Z11" s="44">
        <f t="shared" si="2"/>
        <v>0.94135688440855481</v>
      </c>
      <c r="AA11" s="306">
        <v>170523</v>
      </c>
      <c r="AB11" s="306">
        <v>160523</v>
      </c>
    </row>
    <row r="12" spans="1:28" ht="15" x14ac:dyDescent="0.25">
      <c r="A12" s="265">
        <f t="shared" si="0"/>
        <v>336</v>
      </c>
      <c r="B12" s="248">
        <v>191400</v>
      </c>
      <c r="C12" s="195">
        <v>0.75058823529411767</v>
      </c>
      <c r="D12" s="195">
        <v>0.63</v>
      </c>
      <c r="E12" s="318" t="s">
        <v>285</v>
      </c>
      <c r="F12">
        <v>6</v>
      </c>
      <c r="G12">
        <v>2</v>
      </c>
      <c r="H12">
        <v>0</v>
      </c>
      <c r="I12">
        <v>0</v>
      </c>
      <c r="J12">
        <v>15</v>
      </c>
      <c r="K12" s="9">
        <v>0</v>
      </c>
      <c r="L12" s="36">
        <v>0</v>
      </c>
      <c r="M12" s="9">
        <f t="shared" si="1"/>
        <v>23</v>
      </c>
      <c r="N12" s="197">
        <v>8.7499999999999994E-2</v>
      </c>
      <c r="O12" s="196">
        <v>0.04</v>
      </c>
      <c r="P12" s="198">
        <v>0.1275</v>
      </c>
      <c r="R12" s="242">
        <v>0.09</v>
      </c>
      <c r="S12" s="196">
        <v>0.06</v>
      </c>
      <c r="T12" s="243">
        <v>0.15</v>
      </c>
      <c r="U12" s="129"/>
      <c r="V12" s="317">
        <f t="shared" si="3"/>
        <v>4306.5</v>
      </c>
      <c r="Z12" s="44">
        <f t="shared" ref="Z12" si="4">AB12/AA12</f>
        <v>0.94135688440855481</v>
      </c>
      <c r="AA12" s="306">
        <v>170523</v>
      </c>
      <c r="AB12" s="306">
        <v>160523</v>
      </c>
    </row>
    <row r="13" spans="1:28" ht="15" x14ac:dyDescent="0.25">
      <c r="A13" s="265">
        <f t="shared" si="0"/>
        <v>335</v>
      </c>
      <c r="B13" s="248">
        <v>191400</v>
      </c>
      <c r="C13" s="195">
        <v>0.75058823529411767</v>
      </c>
      <c r="D13" s="195">
        <v>0.63</v>
      </c>
      <c r="E13" s="318" t="s">
        <v>284</v>
      </c>
      <c r="F13">
        <v>6</v>
      </c>
      <c r="G13">
        <v>2</v>
      </c>
      <c r="H13">
        <v>0</v>
      </c>
      <c r="I13">
        <v>0</v>
      </c>
      <c r="J13">
        <v>15</v>
      </c>
      <c r="K13" s="9">
        <v>0</v>
      </c>
      <c r="L13" s="36">
        <v>0</v>
      </c>
      <c r="M13" s="9">
        <f t="shared" si="1"/>
        <v>23</v>
      </c>
      <c r="N13" s="197">
        <v>8.7499999999999994E-2</v>
      </c>
      <c r="O13" s="196">
        <v>0.04</v>
      </c>
      <c r="P13" s="198">
        <v>0.1275</v>
      </c>
      <c r="R13" s="242">
        <v>0.09</v>
      </c>
      <c r="S13" s="196">
        <v>0.06</v>
      </c>
      <c r="T13" s="243">
        <v>0.15</v>
      </c>
      <c r="U13" s="129"/>
      <c r="V13" s="317">
        <f t="shared" si="3"/>
        <v>4306.5</v>
      </c>
      <c r="Z13" s="44">
        <f t="shared" ref="Z13" si="5">AB13/AA13</f>
        <v>0.94135688440855481</v>
      </c>
      <c r="AA13" s="306">
        <v>170523</v>
      </c>
      <c r="AB13" s="306">
        <v>160523</v>
      </c>
    </row>
    <row r="14" spans="1:28" ht="15" x14ac:dyDescent="0.25">
      <c r="A14" s="265">
        <f t="shared" si="0"/>
        <v>334</v>
      </c>
      <c r="B14" s="248">
        <v>191400</v>
      </c>
      <c r="C14" s="195">
        <v>0.75058823529411767</v>
      </c>
      <c r="D14" s="195">
        <v>0.63</v>
      </c>
      <c r="E14" s="318" t="s">
        <v>279</v>
      </c>
      <c r="F14">
        <v>6</v>
      </c>
      <c r="G14">
        <v>2</v>
      </c>
      <c r="H14">
        <v>0</v>
      </c>
      <c r="I14">
        <v>0</v>
      </c>
      <c r="J14">
        <v>15</v>
      </c>
      <c r="K14" s="9">
        <v>0</v>
      </c>
      <c r="L14" s="36">
        <v>0</v>
      </c>
      <c r="M14" s="9">
        <f t="shared" si="1"/>
        <v>23</v>
      </c>
      <c r="N14" s="197">
        <v>8.7499999999999994E-2</v>
      </c>
      <c r="O14" s="196">
        <v>0.04</v>
      </c>
      <c r="P14" s="198">
        <v>0.1275</v>
      </c>
      <c r="R14" s="242">
        <v>0.09</v>
      </c>
      <c r="S14" s="196">
        <v>0.06</v>
      </c>
      <c r="T14" s="243">
        <v>0.15</v>
      </c>
      <c r="U14" s="129"/>
      <c r="V14" s="317">
        <f t="shared" si="3"/>
        <v>4306.5</v>
      </c>
      <c r="Z14" s="44">
        <f t="shared" ref="Z14:Z15" si="6">AB14/AA14</f>
        <v>0.94135688440855481</v>
      </c>
      <c r="AA14" s="306">
        <v>170523</v>
      </c>
      <c r="AB14" s="306">
        <v>160523</v>
      </c>
    </row>
    <row r="15" spans="1:28" ht="15" x14ac:dyDescent="0.25">
      <c r="A15" s="265">
        <f t="shared" si="0"/>
        <v>333</v>
      </c>
      <c r="B15" s="248">
        <v>180800</v>
      </c>
      <c r="C15" s="195">
        <v>0.75333647223530098</v>
      </c>
      <c r="D15" s="195">
        <f>66%</f>
        <v>0.66</v>
      </c>
      <c r="E15" s="88" t="s">
        <v>282</v>
      </c>
      <c r="F15" s="9">
        <v>4</v>
      </c>
      <c r="G15" s="9">
        <v>2</v>
      </c>
      <c r="H15" s="9">
        <v>0</v>
      </c>
      <c r="I15" s="9">
        <v>0</v>
      </c>
      <c r="J15" s="9">
        <v>15</v>
      </c>
      <c r="K15" s="9">
        <v>0</v>
      </c>
      <c r="L15" s="9">
        <v>0</v>
      </c>
      <c r="M15" s="9">
        <f t="shared" si="1"/>
        <v>21</v>
      </c>
      <c r="N15" s="197">
        <v>8.7499999999999994E-2</v>
      </c>
      <c r="O15" s="196">
        <v>0.04</v>
      </c>
      <c r="P15" s="198">
        <v>0.1275</v>
      </c>
      <c r="R15" s="242">
        <v>0.09</v>
      </c>
      <c r="S15" s="196">
        <v>0.06</v>
      </c>
      <c r="T15" s="243">
        <v>0.15</v>
      </c>
      <c r="U15" s="129"/>
      <c r="V15" s="317">
        <f t="shared" si="3"/>
        <v>4068</v>
      </c>
      <c r="Z15" s="301">
        <f t="shared" si="6"/>
        <v>1</v>
      </c>
      <c r="AA15" s="306">
        <v>159215</v>
      </c>
      <c r="AB15" s="306">
        <v>159215</v>
      </c>
    </row>
    <row r="16" spans="1:28" ht="15" x14ac:dyDescent="0.25">
      <c r="A16" s="265">
        <f t="shared" si="0"/>
        <v>332</v>
      </c>
      <c r="B16" s="248">
        <v>190400</v>
      </c>
      <c r="C16" s="195">
        <v>0.79333663890266204</v>
      </c>
      <c r="D16" s="195">
        <f>66%</f>
        <v>0.66</v>
      </c>
      <c r="E16" s="88" t="s">
        <v>281</v>
      </c>
      <c r="F16" s="9">
        <v>4</v>
      </c>
      <c r="G16" s="9">
        <v>2</v>
      </c>
      <c r="H16" s="9">
        <v>0</v>
      </c>
      <c r="I16" s="9">
        <v>0</v>
      </c>
      <c r="J16" s="9">
        <v>15</v>
      </c>
      <c r="K16" s="9">
        <v>0</v>
      </c>
      <c r="L16" s="9">
        <v>0</v>
      </c>
      <c r="M16" s="9">
        <f t="shared" si="1"/>
        <v>21</v>
      </c>
      <c r="N16" s="197">
        <v>8.7499999999999994E-2</v>
      </c>
      <c r="O16" s="196">
        <v>0.04</v>
      </c>
      <c r="P16" s="198">
        <v>0.1275</v>
      </c>
      <c r="R16" s="242">
        <v>0.09</v>
      </c>
      <c r="S16" s="196">
        <v>0.06</v>
      </c>
      <c r="T16" s="243">
        <v>0.15</v>
      </c>
      <c r="U16" s="129"/>
      <c r="V16" s="317">
        <f t="shared" si="3"/>
        <v>4284</v>
      </c>
      <c r="Z16" s="301">
        <f t="shared" ref="Z16:Z18" si="7">AB16/AA16</f>
        <v>1</v>
      </c>
      <c r="AA16" s="306">
        <v>159215</v>
      </c>
      <c r="AB16" s="306">
        <v>159215</v>
      </c>
    </row>
    <row r="17" spans="1:29" ht="15" x14ac:dyDescent="0.25">
      <c r="A17" s="37">
        <f t="shared" si="0"/>
        <v>331</v>
      </c>
      <c r="B17" s="248">
        <v>180800</v>
      </c>
      <c r="C17" s="195">
        <v>0.75333647223530098</v>
      </c>
      <c r="D17" s="195">
        <f>66%</f>
        <v>0.66</v>
      </c>
      <c r="E17" s="88" t="s">
        <v>280</v>
      </c>
      <c r="F17">
        <v>4</v>
      </c>
      <c r="G17">
        <v>2</v>
      </c>
      <c r="H17">
        <v>0</v>
      </c>
      <c r="I17">
        <v>0</v>
      </c>
      <c r="J17">
        <v>15</v>
      </c>
      <c r="K17">
        <v>0</v>
      </c>
      <c r="L17" s="9">
        <v>0</v>
      </c>
      <c r="M17" s="9">
        <f t="shared" si="1"/>
        <v>21</v>
      </c>
      <c r="N17" s="197">
        <v>8.7499999999999994E-2</v>
      </c>
      <c r="O17" s="196">
        <v>0.04</v>
      </c>
      <c r="P17" s="198">
        <v>0.1275</v>
      </c>
      <c r="R17" s="242">
        <v>0.09</v>
      </c>
      <c r="S17" s="196">
        <v>0.06</v>
      </c>
      <c r="T17" s="243">
        <v>0.15</v>
      </c>
      <c r="U17" s="129" t="s">
        <v>221</v>
      </c>
      <c r="V17" s="317">
        <f t="shared" si="3"/>
        <v>4068</v>
      </c>
      <c r="Z17" s="301">
        <f t="shared" si="7"/>
        <v>1</v>
      </c>
      <c r="AA17" s="306">
        <v>159215</v>
      </c>
      <c r="AB17" s="306">
        <v>159215</v>
      </c>
    </row>
    <row r="18" spans="1:29" ht="15" x14ac:dyDescent="0.25">
      <c r="A18" s="265">
        <f t="shared" si="0"/>
        <v>330</v>
      </c>
      <c r="B18" s="248">
        <v>190400</v>
      </c>
      <c r="C18" s="195">
        <v>0.79333663890266204</v>
      </c>
      <c r="D18" s="195">
        <f>66%</f>
        <v>0.66</v>
      </c>
      <c r="E18" s="88" t="s">
        <v>278</v>
      </c>
      <c r="F18" s="9">
        <v>4</v>
      </c>
      <c r="G18" s="9">
        <v>2</v>
      </c>
      <c r="H18" s="9">
        <v>0</v>
      </c>
      <c r="I18" s="9">
        <v>0</v>
      </c>
      <c r="J18" s="9">
        <v>15</v>
      </c>
      <c r="K18" s="9">
        <v>0</v>
      </c>
      <c r="L18" s="9">
        <v>0</v>
      </c>
      <c r="M18" s="9">
        <f t="shared" si="1"/>
        <v>21</v>
      </c>
      <c r="N18" s="197">
        <v>8.7499999999999994E-2</v>
      </c>
      <c r="O18" s="196">
        <v>0.04</v>
      </c>
      <c r="P18" s="198">
        <v>0.1275</v>
      </c>
      <c r="R18" s="242">
        <v>0.09</v>
      </c>
      <c r="S18" s="196">
        <v>0.06</v>
      </c>
      <c r="T18" s="243">
        <v>0.15</v>
      </c>
      <c r="U18" s="129"/>
      <c r="V18" s="317">
        <f t="shared" si="3"/>
        <v>4284</v>
      </c>
      <c r="Z18" s="301">
        <f t="shared" si="7"/>
        <v>1</v>
      </c>
      <c r="AA18" s="306">
        <v>159215</v>
      </c>
      <c r="AB18" s="306">
        <v>159215</v>
      </c>
    </row>
    <row r="19" spans="1:29" ht="15" x14ac:dyDescent="0.25">
      <c r="A19" s="265">
        <f t="shared" si="0"/>
        <v>329</v>
      </c>
      <c r="B19" s="248">
        <v>135500</v>
      </c>
      <c r="C19" s="195">
        <v>0.72459893048128343</v>
      </c>
      <c r="D19" s="195">
        <v>0.58382352941176474</v>
      </c>
      <c r="E19" s="88" t="s">
        <v>262</v>
      </c>
      <c r="F19" s="9">
        <v>0</v>
      </c>
      <c r="G19" s="9">
        <v>1</v>
      </c>
      <c r="H19" s="9">
        <v>0</v>
      </c>
      <c r="I19" s="9">
        <v>10</v>
      </c>
      <c r="J19" s="9">
        <v>15</v>
      </c>
      <c r="K19" s="9">
        <v>0</v>
      </c>
      <c r="L19" s="9">
        <v>0</v>
      </c>
      <c r="M19" s="9">
        <f t="shared" si="1"/>
        <v>26</v>
      </c>
      <c r="N19" s="197">
        <v>9.2499999999999999E-2</v>
      </c>
      <c r="O19" s="196">
        <v>0.05</v>
      </c>
      <c r="P19" s="198">
        <v>0.14250000000000002</v>
      </c>
      <c r="R19" s="242">
        <v>9.1999999999999998E-2</v>
      </c>
      <c r="S19" s="196">
        <v>0.06</v>
      </c>
      <c r="T19" s="243">
        <v>0.152</v>
      </c>
      <c r="U19" s="129" t="s">
        <v>221</v>
      </c>
      <c r="V19" s="317">
        <f t="shared" si="3"/>
        <v>1287.2499999999964</v>
      </c>
      <c r="Z19" s="44">
        <f>AB19/AA19</f>
        <v>0.91461679203090063</v>
      </c>
      <c r="AA19" s="306">
        <v>122975</v>
      </c>
      <c r="AB19" s="306">
        <v>112475</v>
      </c>
      <c r="AC19" s="311"/>
    </row>
    <row r="20" spans="1:29" ht="15" x14ac:dyDescent="0.25">
      <c r="A20" s="265">
        <f t="shared" si="0"/>
        <v>328</v>
      </c>
      <c r="B20" s="248">
        <v>122500</v>
      </c>
      <c r="C20" s="195">
        <v>0.61250000000000004</v>
      </c>
      <c r="D20" s="195">
        <v>0.48925000000000002</v>
      </c>
      <c r="E20" s="88" t="s">
        <v>261</v>
      </c>
      <c r="F20">
        <v>0</v>
      </c>
      <c r="G20">
        <v>1</v>
      </c>
      <c r="H20">
        <v>0</v>
      </c>
      <c r="I20">
        <v>10</v>
      </c>
      <c r="J20">
        <v>15</v>
      </c>
      <c r="K20">
        <v>0</v>
      </c>
      <c r="L20">
        <v>0</v>
      </c>
      <c r="M20" s="9">
        <f t="shared" si="1"/>
        <v>26</v>
      </c>
      <c r="N20" s="197">
        <v>9.2499999999999999E-2</v>
      </c>
      <c r="O20" s="196">
        <v>0.05</v>
      </c>
      <c r="P20" s="198">
        <v>0.14250000000000002</v>
      </c>
      <c r="R20" s="242">
        <v>9.0999999999999998E-2</v>
      </c>
      <c r="S20" s="196">
        <v>0.06</v>
      </c>
      <c r="T20" s="243">
        <v>0.151</v>
      </c>
      <c r="U20" s="129"/>
      <c r="V20" s="317">
        <f t="shared" si="3"/>
        <v>1041.2499999999964</v>
      </c>
      <c r="Z20" s="44">
        <f t="shared" ref="Z20:Z32" si="8">AB20/AA20</f>
        <v>0.90595611285266453</v>
      </c>
      <c r="AA20" s="306">
        <v>111650</v>
      </c>
      <c r="AB20" s="306">
        <v>101150</v>
      </c>
    </row>
    <row r="21" spans="1:29" ht="15" x14ac:dyDescent="0.25">
      <c r="A21" s="265">
        <v>327</v>
      </c>
      <c r="B21" s="248">
        <v>367200</v>
      </c>
      <c r="C21" s="195">
        <v>0.7236686390532544</v>
      </c>
      <c r="D21" s="195">
        <v>0.61</v>
      </c>
      <c r="E21" s="88" t="s">
        <v>230</v>
      </c>
      <c r="F21" s="9">
        <v>7</v>
      </c>
      <c r="G21" s="9">
        <v>8</v>
      </c>
      <c r="H21" s="9">
        <v>15</v>
      </c>
      <c r="I21" s="9">
        <v>8.5</v>
      </c>
      <c r="J21" s="9">
        <v>15</v>
      </c>
      <c r="K21" s="9">
        <v>-10</v>
      </c>
      <c r="L21" s="9">
        <v>0</v>
      </c>
      <c r="M21" s="9">
        <f t="shared" si="1"/>
        <v>43.5</v>
      </c>
      <c r="N21" s="197">
        <v>0.1275</v>
      </c>
      <c r="O21" s="196">
        <v>0.06</v>
      </c>
      <c r="P21" s="198">
        <v>0.1875</v>
      </c>
      <c r="R21" s="200">
        <v>0.1</v>
      </c>
      <c r="S21" s="196">
        <v>0.06</v>
      </c>
      <c r="T21" s="199">
        <f t="shared" ref="T21:T31" si="9">S21+R21</f>
        <v>0.16</v>
      </c>
      <c r="U21" s="129"/>
      <c r="V21" s="297">
        <f t="shared" si="3"/>
        <v>-10098</v>
      </c>
      <c r="Z21" s="44">
        <f t="shared" si="8"/>
        <v>0.83464241422075236</v>
      </c>
      <c r="AA21" s="306">
        <v>362850</v>
      </c>
      <c r="AB21" s="306">
        <v>302850</v>
      </c>
    </row>
    <row r="22" spans="1:29" ht="15" x14ac:dyDescent="0.25">
      <c r="A22" s="265">
        <v>326</v>
      </c>
      <c r="B22" s="248">
        <v>122300</v>
      </c>
      <c r="C22" s="195">
        <v>0.74331983805668012</v>
      </c>
      <c r="D22" s="195">
        <v>0.62</v>
      </c>
      <c r="E22" s="88" t="s">
        <v>229</v>
      </c>
      <c r="F22" s="9">
        <v>0</v>
      </c>
      <c r="G22" s="9">
        <v>8</v>
      </c>
      <c r="H22" s="9">
        <v>0</v>
      </c>
      <c r="I22" s="9">
        <v>0</v>
      </c>
      <c r="J22" s="9">
        <v>15</v>
      </c>
      <c r="K22" s="9">
        <v>-10</v>
      </c>
      <c r="L22" s="9">
        <v>0</v>
      </c>
      <c r="M22" s="9">
        <f t="shared" si="1"/>
        <v>13</v>
      </c>
      <c r="N22" s="197">
        <v>8.7499999999999994E-2</v>
      </c>
      <c r="O22" s="196">
        <v>0.04</v>
      </c>
      <c r="P22" s="198">
        <v>0.1275</v>
      </c>
      <c r="R22" s="242">
        <v>0.09</v>
      </c>
      <c r="S22" s="196">
        <v>0.05</v>
      </c>
      <c r="T22" s="243">
        <f t="shared" si="9"/>
        <v>0.14000000000000001</v>
      </c>
      <c r="U22" s="129"/>
      <c r="V22" s="251">
        <f t="shared" si="3"/>
        <v>1528.75</v>
      </c>
      <c r="Z22" s="44">
        <f t="shared" si="8"/>
        <v>0.81181783966879939</v>
      </c>
      <c r="AA22" s="306">
        <v>132850</v>
      </c>
      <c r="AB22" s="306">
        <v>107850</v>
      </c>
    </row>
    <row r="23" spans="1:29" ht="15" x14ac:dyDescent="0.25">
      <c r="A23" s="265">
        <v>325</v>
      </c>
      <c r="B23" s="248">
        <v>246750</v>
      </c>
      <c r="C23" s="195">
        <v>0.75</v>
      </c>
      <c r="D23" s="195">
        <v>0.69</v>
      </c>
      <c r="E23" s="88" t="s">
        <v>149</v>
      </c>
      <c r="F23">
        <v>0</v>
      </c>
      <c r="G23">
        <v>12</v>
      </c>
      <c r="H23">
        <v>0</v>
      </c>
      <c r="I23">
        <v>0</v>
      </c>
      <c r="J23">
        <v>15</v>
      </c>
      <c r="K23">
        <v>-10</v>
      </c>
      <c r="L23">
        <v>0</v>
      </c>
      <c r="M23" s="9">
        <f t="shared" si="1"/>
        <v>17</v>
      </c>
      <c r="N23" s="197">
        <v>8.7499999999999994E-2</v>
      </c>
      <c r="O23" s="196">
        <v>0.04</v>
      </c>
      <c r="P23" s="198">
        <v>0.1275</v>
      </c>
      <c r="R23" s="242">
        <v>0.08</v>
      </c>
      <c r="S23" s="196">
        <v>0.06</v>
      </c>
      <c r="T23" s="243">
        <f t="shared" si="9"/>
        <v>0.14000000000000001</v>
      </c>
      <c r="U23" s="129"/>
      <c r="V23" s="251">
        <f>(B23*T23)-(B23*P23)</f>
        <v>3084.375</v>
      </c>
      <c r="Z23" s="301">
        <f t="shared" si="8"/>
        <v>1</v>
      </c>
      <c r="AA23" s="306">
        <v>224850</v>
      </c>
      <c r="AB23" s="306">
        <v>224850</v>
      </c>
    </row>
    <row r="24" spans="1:29" ht="15" x14ac:dyDescent="0.25">
      <c r="A24" s="265">
        <v>324</v>
      </c>
      <c r="B24" s="248">
        <v>448700</v>
      </c>
      <c r="C24" s="195">
        <v>0.69</v>
      </c>
      <c r="D24" s="195">
        <v>0.57999999999999996</v>
      </c>
      <c r="E24" s="88" t="s">
        <v>150</v>
      </c>
      <c r="F24">
        <v>0</v>
      </c>
      <c r="G24">
        <v>8</v>
      </c>
      <c r="H24">
        <v>0</v>
      </c>
      <c r="I24">
        <v>0</v>
      </c>
      <c r="J24">
        <v>15</v>
      </c>
      <c r="K24">
        <v>-10</v>
      </c>
      <c r="L24">
        <v>0</v>
      </c>
      <c r="M24" s="9">
        <f t="shared" si="1"/>
        <v>13</v>
      </c>
      <c r="N24" s="197">
        <v>8.7499999999999994E-2</v>
      </c>
      <c r="O24" s="196">
        <v>0.04</v>
      </c>
      <c r="P24" s="198">
        <v>0.1275</v>
      </c>
      <c r="R24" s="197">
        <v>0.1</v>
      </c>
      <c r="S24" s="196">
        <v>0.06</v>
      </c>
      <c r="T24" s="198">
        <f t="shared" si="9"/>
        <v>0.16</v>
      </c>
      <c r="U24" s="129"/>
      <c r="V24" s="251">
        <f t="shared" ref="V24:V31" si="10">(B24*T24)-(B24*P24)</f>
        <v>14582.75</v>
      </c>
      <c r="Z24" s="44">
        <f t="shared" si="8"/>
        <v>0.9034667503288164</v>
      </c>
      <c r="AA24" s="306">
        <v>414365</v>
      </c>
      <c r="AB24" s="306">
        <v>374365</v>
      </c>
    </row>
    <row r="25" spans="1:29" ht="15" x14ac:dyDescent="0.25">
      <c r="A25" s="265">
        <v>323</v>
      </c>
      <c r="B25" s="248">
        <v>119500</v>
      </c>
      <c r="C25" s="195">
        <v>0.75</v>
      </c>
      <c r="D25" s="255">
        <v>0.65</v>
      </c>
      <c r="E25" s="88" t="s">
        <v>151</v>
      </c>
      <c r="F25">
        <v>7</v>
      </c>
      <c r="G25">
        <v>8</v>
      </c>
      <c r="H25">
        <v>15</v>
      </c>
      <c r="I25">
        <v>20</v>
      </c>
      <c r="J25">
        <v>15</v>
      </c>
      <c r="K25">
        <v>-10</v>
      </c>
      <c r="L25">
        <v>0</v>
      </c>
      <c r="M25" s="9">
        <f t="shared" si="1"/>
        <v>55</v>
      </c>
      <c r="N25" s="197">
        <v>0.1275</v>
      </c>
      <c r="O25" s="196">
        <v>0.06</v>
      </c>
      <c r="P25" s="198">
        <v>0.1875</v>
      </c>
      <c r="R25" s="200">
        <v>0.1</v>
      </c>
      <c r="S25" s="196">
        <v>0.06</v>
      </c>
      <c r="T25" s="199">
        <f t="shared" si="9"/>
        <v>0.16</v>
      </c>
      <c r="U25" s="129" t="s">
        <v>221</v>
      </c>
      <c r="V25" s="253">
        <f t="shared" si="10"/>
        <v>-3286.25</v>
      </c>
      <c r="Z25" s="44">
        <f t="shared" si="8"/>
        <v>0.83961507618283882</v>
      </c>
      <c r="AA25" s="306">
        <v>124700</v>
      </c>
      <c r="AB25" s="306">
        <v>104700</v>
      </c>
    </row>
    <row r="26" spans="1:29" ht="15" x14ac:dyDescent="0.25">
      <c r="A26" s="265">
        <v>322</v>
      </c>
      <c r="B26" s="248">
        <v>488500</v>
      </c>
      <c r="C26" s="195">
        <v>0.59</v>
      </c>
      <c r="D26" s="195">
        <v>0.45</v>
      </c>
      <c r="E26" s="88" t="s">
        <v>152</v>
      </c>
      <c r="F26">
        <v>0</v>
      </c>
      <c r="G26">
        <v>1</v>
      </c>
      <c r="H26">
        <v>0</v>
      </c>
      <c r="I26">
        <v>4</v>
      </c>
      <c r="J26">
        <v>15</v>
      </c>
      <c r="K26">
        <v>-10</v>
      </c>
      <c r="L26">
        <v>0</v>
      </c>
      <c r="M26" s="9">
        <f t="shared" si="1"/>
        <v>10</v>
      </c>
      <c r="N26" s="197">
        <v>8.7499999999999994E-2</v>
      </c>
      <c r="O26" s="196">
        <v>0.04</v>
      </c>
      <c r="P26" s="198">
        <v>0.1275</v>
      </c>
      <c r="R26" s="197">
        <v>9.9000000000000005E-2</v>
      </c>
      <c r="S26" s="196">
        <v>0.06</v>
      </c>
      <c r="T26" s="198">
        <f t="shared" si="9"/>
        <v>0.159</v>
      </c>
      <c r="U26" s="129" t="s">
        <v>221</v>
      </c>
      <c r="V26" s="251">
        <f t="shared" si="10"/>
        <v>15387.75</v>
      </c>
      <c r="Z26" s="44">
        <f t="shared" si="8"/>
        <v>0.54230329137780175</v>
      </c>
      <c r="AA26" s="306">
        <v>742850</v>
      </c>
      <c r="AB26" s="306">
        <v>402850</v>
      </c>
    </row>
    <row r="27" spans="1:29" ht="15" x14ac:dyDescent="0.25">
      <c r="A27" s="265">
        <v>321</v>
      </c>
      <c r="B27" s="248">
        <v>300000</v>
      </c>
      <c r="C27" s="191">
        <v>0.73</v>
      </c>
      <c r="D27" s="191">
        <v>0.62150000000000005</v>
      </c>
      <c r="E27" s="201" t="s">
        <v>163</v>
      </c>
      <c r="F27">
        <v>0</v>
      </c>
      <c r="G27">
        <v>8</v>
      </c>
      <c r="H27">
        <v>0</v>
      </c>
      <c r="I27">
        <v>4</v>
      </c>
      <c r="J27">
        <v>15</v>
      </c>
      <c r="K27">
        <v>-10</v>
      </c>
      <c r="L27">
        <v>0</v>
      </c>
      <c r="M27" s="9">
        <f t="shared" ref="M27:M50" si="11">SUM(F27:L27)</f>
        <v>17</v>
      </c>
      <c r="N27" s="197">
        <v>8.7499999999999994E-2</v>
      </c>
      <c r="O27" s="196">
        <v>0.04</v>
      </c>
      <c r="P27" s="198">
        <v>0.1275</v>
      </c>
      <c r="R27" s="197">
        <v>0.1</v>
      </c>
      <c r="S27" s="196">
        <v>0.06</v>
      </c>
      <c r="T27" s="198">
        <f t="shared" si="9"/>
        <v>0.16</v>
      </c>
      <c r="U27" s="129"/>
      <c r="V27" s="251">
        <f t="shared" si="10"/>
        <v>9750</v>
      </c>
      <c r="Z27" s="44">
        <f t="shared" si="8"/>
        <v>0.79272364321680155</v>
      </c>
      <c r="AA27" s="306">
        <v>313591</v>
      </c>
      <c r="AB27" s="306">
        <v>248591</v>
      </c>
    </row>
    <row r="28" spans="1:29" ht="15" x14ac:dyDescent="0.25">
      <c r="A28" s="37">
        <v>320</v>
      </c>
      <c r="B28" s="248">
        <v>136000</v>
      </c>
      <c r="C28" s="195">
        <v>0.76</v>
      </c>
      <c r="D28" s="191">
        <v>0.62150000000000005</v>
      </c>
      <c r="E28" s="88" t="s">
        <v>153</v>
      </c>
      <c r="F28">
        <v>0</v>
      </c>
      <c r="G28">
        <v>8</v>
      </c>
      <c r="H28">
        <v>0</v>
      </c>
      <c r="I28">
        <v>0</v>
      </c>
      <c r="J28">
        <v>15</v>
      </c>
      <c r="K28">
        <v>0</v>
      </c>
      <c r="L28">
        <v>0</v>
      </c>
      <c r="M28" s="9">
        <f t="shared" si="11"/>
        <v>23</v>
      </c>
      <c r="N28" s="197">
        <v>8.7499999999999994E-2</v>
      </c>
      <c r="O28" s="196">
        <v>0.04</v>
      </c>
      <c r="P28" s="198">
        <v>0.1275</v>
      </c>
      <c r="R28" s="197">
        <v>9.5500000000000002E-2</v>
      </c>
      <c r="S28" s="196">
        <v>0.06</v>
      </c>
      <c r="T28" s="198">
        <f t="shared" si="9"/>
        <v>0.1555</v>
      </c>
      <c r="U28" s="129" t="s">
        <v>221</v>
      </c>
      <c r="V28" s="251">
        <f t="shared" si="10"/>
        <v>3808</v>
      </c>
      <c r="Z28" s="44">
        <f t="shared" si="8"/>
        <v>0.91493429687120242</v>
      </c>
      <c r="AA28" s="306">
        <v>123434</v>
      </c>
      <c r="AB28" s="306">
        <v>112934</v>
      </c>
    </row>
    <row r="29" spans="1:29" ht="15" x14ac:dyDescent="0.25">
      <c r="A29" s="37">
        <v>319</v>
      </c>
      <c r="B29" s="248">
        <v>136000</v>
      </c>
      <c r="C29" s="195">
        <v>0.76</v>
      </c>
      <c r="D29" s="191">
        <v>0.62150000000000005</v>
      </c>
      <c r="E29" s="88" t="s">
        <v>154</v>
      </c>
      <c r="F29">
        <v>0</v>
      </c>
      <c r="G29">
        <v>8</v>
      </c>
      <c r="H29">
        <v>0</v>
      </c>
      <c r="I29">
        <v>0</v>
      </c>
      <c r="J29">
        <v>15</v>
      </c>
      <c r="K29">
        <v>0</v>
      </c>
      <c r="L29">
        <v>0</v>
      </c>
      <c r="M29" s="9">
        <f t="shared" si="11"/>
        <v>23</v>
      </c>
      <c r="N29" s="197">
        <v>8.7499999999999994E-2</v>
      </c>
      <c r="O29" s="196">
        <v>0.04</v>
      </c>
      <c r="P29" s="198">
        <v>0.1275</v>
      </c>
      <c r="R29" s="197">
        <v>9.5500000000000002E-2</v>
      </c>
      <c r="S29" s="196">
        <v>0.06</v>
      </c>
      <c r="T29" s="198">
        <f t="shared" si="9"/>
        <v>0.1555</v>
      </c>
      <c r="U29" s="129" t="s">
        <v>221</v>
      </c>
      <c r="V29" s="251">
        <f t="shared" si="10"/>
        <v>3808</v>
      </c>
      <c r="Z29" s="44">
        <f t="shared" si="8"/>
        <v>0.91493429687120242</v>
      </c>
      <c r="AA29" s="306">
        <v>123434</v>
      </c>
      <c r="AB29" s="306">
        <v>112934</v>
      </c>
    </row>
    <row r="30" spans="1:29" ht="15" x14ac:dyDescent="0.25">
      <c r="A30" s="37">
        <v>318</v>
      </c>
      <c r="B30" s="248">
        <v>136000</v>
      </c>
      <c r="C30" s="195">
        <v>0.76</v>
      </c>
      <c r="D30" s="191">
        <v>0.62150000000000005</v>
      </c>
      <c r="E30" s="88" t="s">
        <v>155</v>
      </c>
      <c r="F30">
        <v>0</v>
      </c>
      <c r="G30">
        <v>8</v>
      </c>
      <c r="H30">
        <v>0</v>
      </c>
      <c r="I30">
        <v>0</v>
      </c>
      <c r="J30">
        <v>15</v>
      </c>
      <c r="K30">
        <v>0</v>
      </c>
      <c r="L30">
        <v>0</v>
      </c>
      <c r="M30" s="9">
        <f t="shared" si="11"/>
        <v>23</v>
      </c>
      <c r="N30" s="197">
        <v>8.7499999999999994E-2</v>
      </c>
      <c r="O30" s="196">
        <v>0.04</v>
      </c>
      <c r="P30" s="198">
        <v>0.1275</v>
      </c>
      <c r="R30" s="197">
        <v>9.5500000000000002E-2</v>
      </c>
      <c r="S30" s="196">
        <v>0.06</v>
      </c>
      <c r="T30" s="198">
        <f t="shared" si="9"/>
        <v>0.1555</v>
      </c>
      <c r="U30" s="129" t="s">
        <v>221</v>
      </c>
      <c r="V30" s="251">
        <f t="shared" si="10"/>
        <v>3808</v>
      </c>
      <c r="Z30" s="44">
        <f t="shared" si="8"/>
        <v>0.91493429687120242</v>
      </c>
      <c r="AA30" s="306">
        <v>123434</v>
      </c>
      <c r="AB30" s="306">
        <v>112934</v>
      </c>
    </row>
    <row r="31" spans="1:29" ht="15" x14ac:dyDescent="0.25">
      <c r="A31" s="265">
        <v>317</v>
      </c>
      <c r="B31" s="248">
        <v>595800</v>
      </c>
      <c r="C31" s="195">
        <v>0.52</v>
      </c>
      <c r="D31" s="191">
        <v>0.4</v>
      </c>
      <c r="E31" s="88" t="s">
        <v>156</v>
      </c>
      <c r="F31">
        <v>0</v>
      </c>
      <c r="G31">
        <v>0</v>
      </c>
      <c r="H31">
        <v>0</v>
      </c>
      <c r="I31">
        <v>4</v>
      </c>
      <c r="J31">
        <v>15</v>
      </c>
      <c r="K31">
        <v>0</v>
      </c>
      <c r="L31">
        <v>0</v>
      </c>
      <c r="M31" s="9">
        <f t="shared" si="11"/>
        <v>19</v>
      </c>
      <c r="N31" s="197">
        <v>8.7499999999999994E-2</v>
      </c>
      <c r="O31" s="196">
        <v>0.04</v>
      </c>
      <c r="P31" s="198">
        <v>0.1275</v>
      </c>
      <c r="R31" s="197">
        <v>0.1</v>
      </c>
      <c r="S31" s="196">
        <v>0.04</v>
      </c>
      <c r="T31" s="198">
        <f t="shared" si="9"/>
        <v>0.14000000000000001</v>
      </c>
      <c r="U31" s="129"/>
      <c r="V31" s="251">
        <f t="shared" si="10"/>
        <v>7447.5000000000146</v>
      </c>
      <c r="Z31" s="44">
        <f t="shared" si="8"/>
        <v>0.5903600396802241</v>
      </c>
      <c r="AA31" s="306">
        <v>856850</v>
      </c>
      <c r="AB31" s="306">
        <v>505850</v>
      </c>
    </row>
    <row r="32" spans="1:29" ht="15" x14ac:dyDescent="0.25">
      <c r="A32" s="265">
        <v>316</v>
      </c>
      <c r="B32" s="248">
        <v>317400</v>
      </c>
      <c r="C32" s="191">
        <v>0.62239999999999995</v>
      </c>
      <c r="D32" s="191">
        <v>0.52600000000000002</v>
      </c>
      <c r="E32" s="88" t="s">
        <v>157</v>
      </c>
      <c r="F32" s="9">
        <v>0</v>
      </c>
      <c r="G32" s="9">
        <v>2</v>
      </c>
      <c r="H32" s="9">
        <v>0</v>
      </c>
      <c r="I32" s="9">
        <v>2</v>
      </c>
      <c r="J32" s="9">
        <v>15</v>
      </c>
      <c r="K32" s="9">
        <v>0</v>
      </c>
      <c r="L32" s="9">
        <v>0</v>
      </c>
      <c r="M32" s="9">
        <f t="shared" si="11"/>
        <v>19</v>
      </c>
      <c r="N32" s="212">
        <v>8.7499999999999994E-2</v>
      </c>
      <c r="O32" s="213">
        <v>0.04</v>
      </c>
      <c r="P32" s="214">
        <v>0.1275</v>
      </c>
      <c r="Q32" s="9"/>
      <c r="R32" s="212">
        <v>0.1</v>
      </c>
      <c r="S32" s="213">
        <v>0.06</v>
      </c>
      <c r="T32" s="214">
        <f>S32+R32</f>
        <v>0.16</v>
      </c>
      <c r="U32" s="182"/>
      <c r="V32" s="257">
        <f>(B32*T32)-(B32*P32)</f>
        <v>10315.5</v>
      </c>
      <c r="Z32" s="44">
        <f t="shared" si="8"/>
        <v>0.72847852943971547</v>
      </c>
      <c r="AA32" s="306">
        <v>368295</v>
      </c>
      <c r="AB32" s="306">
        <v>268295</v>
      </c>
    </row>
    <row r="33" spans="1:28" ht="15" x14ac:dyDescent="0.25">
      <c r="A33" s="37">
        <v>315</v>
      </c>
      <c r="B33" s="248">
        <v>149000</v>
      </c>
      <c r="C33" s="195"/>
      <c r="D33" s="191"/>
      <c r="E33" t="s">
        <v>231</v>
      </c>
      <c r="M33" s="9"/>
      <c r="N33" s="197"/>
      <c r="O33" s="196"/>
      <c r="P33" s="198"/>
      <c r="R33" s="197"/>
      <c r="S33" s="196"/>
      <c r="T33" s="214"/>
      <c r="U33" s="258" t="s">
        <v>232</v>
      </c>
      <c r="V33" s="257"/>
      <c r="Z33" s="44"/>
      <c r="AA33" s="306"/>
      <c r="AB33" s="306"/>
    </row>
    <row r="34" spans="1:28" ht="15" hidden="1" x14ac:dyDescent="0.25">
      <c r="A34" s="37">
        <v>314</v>
      </c>
      <c r="B34" s="248">
        <v>135700</v>
      </c>
      <c r="C34" s="195">
        <v>0.75</v>
      </c>
      <c r="D34" s="191"/>
      <c r="E34" s="9" t="s">
        <v>233</v>
      </c>
      <c r="M34" s="9"/>
      <c r="N34" s="197"/>
      <c r="O34" s="196"/>
      <c r="P34" s="198"/>
      <c r="R34" s="197"/>
      <c r="S34" s="196"/>
      <c r="T34" s="214"/>
      <c r="U34" s="258" t="s">
        <v>221</v>
      </c>
      <c r="V34" s="257"/>
      <c r="Z34" s="44"/>
      <c r="AA34" s="306"/>
      <c r="AB34" s="306"/>
    </row>
    <row r="35" spans="1:28" ht="15" x14ac:dyDescent="0.25">
      <c r="A35" s="37">
        <v>313</v>
      </c>
      <c r="B35" s="248">
        <v>135700</v>
      </c>
      <c r="C35" s="195">
        <v>0.75</v>
      </c>
      <c r="D35" s="191"/>
      <c r="E35" s="9" t="s">
        <v>234</v>
      </c>
      <c r="M35" s="9"/>
      <c r="N35" s="197"/>
      <c r="O35" s="196"/>
      <c r="P35" s="198"/>
      <c r="R35" s="197"/>
      <c r="S35" s="196"/>
      <c r="T35" s="214"/>
      <c r="U35" s="258" t="s">
        <v>221</v>
      </c>
      <c r="V35" s="257"/>
      <c r="Z35" s="44"/>
      <c r="AA35" s="306"/>
      <c r="AB35" s="306"/>
    </row>
    <row r="36" spans="1:28" ht="15" x14ac:dyDescent="0.25">
      <c r="A36" s="265">
        <v>312</v>
      </c>
      <c r="B36" s="248">
        <v>220600</v>
      </c>
      <c r="C36" s="195">
        <v>0.73</v>
      </c>
      <c r="D36" s="191">
        <v>0.6</v>
      </c>
      <c r="E36" s="9" t="s">
        <v>235</v>
      </c>
      <c r="F36" s="9">
        <v>8</v>
      </c>
      <c r="G36" s="9">
        <v>8</v>
      </c>
      <c r="H36" s="9">
        <v>0</v>
      </c>
      <c r="I36" s="9">
        <v>8.5</v>
      </c>
      <c r="J36" s="9">
        <v>15</v>
      </c>
      <c r="K36" s="9">
        <v>-10</v>
      </c>
      <c r="L36" s="9">
        <v>0</v>
      </c>
      <c r="M36" s="9">
        <f t="shared" si="11"/>
        <v>29.5</v>
      </c>
      <c r="N36" s="197">
        <v>9.2499999999999999E-2</v>
      </c>
      <c r="O36" s="196">
        <v>0.05</v>
      </c>
      <c r="P36" s="198">
        <v>0.14250000000000002</v>
      </c>
      <c r="Q36" s="9"/>
      <c r="R36" s="264">
        <v>0.1</v>
      </c>
      <c r="S36" s="262">
        <v>0.04</v>
      </c>
      <c r="T36" s="261">
        <f>S36+R36</f>
        <v>0.14000000000000001</v>
      </c>
      <c r="U36" s="182"/>
      <c r="V36" s="260">
        <f>(B36*T36)-(B36*P36)</f>
        <v>-551.5</v>
      </c>
      <c r="Z36" s="44">
        <f t="shared" ref="Z36" si="12">AB36/AA36</f>
        <v>0.79357485784330417</v>
      </c>
      <c r="AA36" s="306">
        <v>234952</v>
      </c>
      <c r="AB36" s="306">
        <v>186452</v>
      </c>
    </row>
    <row r="37" spans="1:28" ht="15" x14ac:dyDescent="0.25">
      <c r="A37" s="265">
        <v>311</v>
      </c>
      <c r="B37" s="248">
        <v>148000</v>
      </c>
      <c r="C37" s="195">
        <v>0.69</v>
      </c>
      <c r="D37" s="191">
        <v>0.62</v>
      </c>
      <c r="E37" t="s">
        <v>236</v>
      </c>
      <c r="F37" s="9">
        <v>6</v>
      </c>
      <c r="G37" s="9">
        <v>8</v>
      </c>
      <c r="H37" s="9">
        <v>0</v>
      </c>
      <c r="I37" s="9">
        <v>0</v>
      </c>
      <c r="J37" s="9">
        <v>15</v>
      </c>
      <c r="K37" s="9">
        <v>-10</v>
      </c>
      <c r="L37" s="9">
        <v>0</v>
      </c>
      <c r="M37" s="9">
        <f t="shared" si="11"/>
        <v>19</v>
      </c>
      <c r="N37" s="197">
        <v>8.7499999999999994E-2</v>
      </c>
      <c r="O37" s="196">
        <v>0.04</v>
      </c>
      <c r="P37" s="198">
        <v>0.1275</v>
      </c>
      <c r="Q37" s="9"/>
      <c r="R37" s="212">
        <v>0.1</v>
      </c>
      <c r="S37" s="213">
        <v>0.06</v>
      </c>
      <c r="T37" s="263">
        <f>S37+R37</f>
        <v>0.16</v>
      </c>
      <c r="U37" s="258" t="s">
        <v>256</v>
      </c>
      <c r="V37" s="259">
        <f>(B37*T37)-(B37*P37)</f>
        <v>4810</v>
      </c>
      <c r="Z37" s="44"/>
      <c r="AA37" s="306"/>
      <c r="AB37" s="306"/>
    </row>
    <row r="38" spans="1:28" ht="15" x14ac:dyDescent="0.25">
      <c r="A38" s="187">
        <v>310</v>
      </c>
      <c r="B38" s="249">
        <v>132700</v>
      </c>
      <c r="C38" s="256">
        <v>0.76</v>
      </c>
      <c r="D38" s="204"/>
      <c r="E38" s="190" t="s">
        <v>237</v>
      </c>
      <c r="F38" s="190"/>
      <c r="G38" s="190"/>
      <c r="H38" s="190"/>
      <c r="I38" s="190"/>
      <c r="J38" s="190"/>
      <c r="K38" s="190"/>
      <c r="L38" s="190"/>
      <c r="M38" s="190"/>
      <c r="N38" s="205"/>
      <c r="O38" s="206"/>
      <c r="P38" s="207"/>
      <c r="Q38" s="190"/>
      <c r="R38" s="205"/>
      <c r="S38" s="206"/>
      <c r="T38" s="207"/>
      <c r="U38" s="269" t="s">
        <v>221</v>
      </c>
      <c r="V38" s="270"/>
      <c r="Z38" s="44"/>
      <c r="AA38" s="306"/>
      <c r="AB38" s="306"/>
    </row>
    <row r="39" spans="1:28" ht="15" hidden="1" x14ac:dyDescent="0.25">
      <c r="A39" s="37">
        <v>309</v>
      </c>
      <c r="B39" s="248">
        <v>192000</v>
      </c>
      <c r="C39" s="195">
        <v>0.75</v>
      </c>
      <c r="E39" t="s">
        <v>238</v>
      </c>
      <c r="M39">
        <f t="shared" si="11"/>
        <v>0</v>
      </c>
      <c r="N39" s="212"/>
      <c r="O39" s="213"/>
      <c r="P39" s="214"/>
      <c r="Q39" s="9"/>
      <c r="R39" s="212"/>
      <c r="S39" s="213"/>
      <c r="T39" s="214"/>
      <c r="U39" s="258" t="s">
        <v>221</v>
      </c>
      <c r="V39" s="259"/>
      <c r="Z39" s="44"/>
      <c r="AA39" s="306"/>
      <c r="AB39" s="306"/>
    </row>
    <row r="40" spans="1:28" ht="15" hidden="1" x14ac:dyDescent="0.25">
      <c r="A40" s="37">
        <v>308</v>
      </c>
      <c r="B40" s="248">
        <v>192000</v>
      </c>
      <c r="C40" s="195">
        <v>0.75</v>
      </c>
      <c r="E40" t="s">
        <v>239</v>
      </c>
      <c r="M40">
        <f t="shared" si="11"/>
        <v>0</v>
      </c>
      <c r="N40" s="212"/>
      <c r="O40" s="213"/>
      <c r="P40" s="214"/>
      <c r="Q40" s="9"/>
      <c r="R40" s="212"/>
      <c r="S40" s="213"/>
      <c r="T40" s="214"/>
      <c r="U40" s="258" t="s">
        <v>221</v>
      </c>
      <c r="V40" s="259"/>
      <c r="Z40" s="44"/>
      <c r="AA40" s="306"/>
      <c r="AB40" s="306"/>
    </row>
    <row r="41" spans="1:28" ht="15" hidden="1" x14ac:dyDescent="0.25">
      <c r="A41" s="37">
        <v>307</v>
      </c>
      <c r="B41" s="248">
        <v>246200</v>
      </c>
      <c r="C41" s="195">
        <v>0.56999999999999995</v>
      </c>
      <c r="E41" t="s">
        <v>240</v>
      </c>
      <c r="M41">
        <f t="shared" si="11"/>
        <v>0</v>
      </c>
      <c r="N41" s="212"/>
      <c r="O41" s="213"/>
      <c r="P41" s="214"/>
      <c r="Q41" s="9"/>
      <c r="R41" s="212"/>
      <c r="S41" s="213"/>
      <c r="T41" s="214"/>
      <c r="U41" s="258" t="s">
        <v>221</v>
      </c>
      <c r="V41" s="259"/>
      <c r="Z41" s="44"/>
      <c r="AA41" s="306"/>
      <c r="AB41" s="306"/>
    </row>
    <row r="42" spans="1:28" ht="15" hidden="1" x14ac:dyDescent="0.25">
      <c r="A42" s="37">
        <v>306</v>
      </c>
      <c r="B42" s="248">
        <v>148600</v>
      </c>
      <c r="C42" s="195">
        <v>0.71</v>
      </c>
      <c r="D42" s="191"/>
      <c r="E42" s="9" t="s">
        <v>245</v>
      </c>
      <c r="F42" s="9"/>
      <c r="G42" s="9"/>
      <c r="H42" s="9"/>
      <c r="I42" s="9"/>
      <c r="J42" s="9"/>
      <c r="K42" s="9"/>
      <c r="L42" s="9"/>
      <c r="M42" s="9">
        <f t="shared" si="11"/>
        <v>0</v>
      </c>
      <c r="N42" s="212"/>
      <c r="O42" s="213"/>
      <c r="P42" s="214"/>
      <c r="Q42" s="9"/>
      <c r="R42" s="212"/>
      <c r="S42" s="213"/>
      <c r="T42" s="214"/>
      <c r="U42" s="258" t="s">
        <v>232</v>
      </c>
      <c r="V42" s="259"/>
      <c r="Z42" s="44"/>
      <c r="AA42" s="306"/>
      <c r="AB42" s="306"/>
    </row>
    <row r="43" spans="1:28" ht="15" hidden="1" x14ac:dyDescent="0.25">
      <c r="A43" s="37">
        <v>305</v>
      </c>
      <c r="B43" s="248">
        <v>148600</v>
      </c>
      <c r="C43" s="195">
        <v>0.71</v>
      </c>
      <c r="D43" s="191"/>
      <c r="E43" s="88" t="s">
        <v>246</v>
      </c>
      <c r="F43" s="9"/>
      <c r="G43" s="9"/>
      <c r="H43" s="9"/>
      <c r="I43" s="9"/>
      <c r="J43" s="9"/>
      <c r="K43" s="9"/>
      <c r="L43" s="9"/>
      <c r="M43" s="9">
        <f t="shared" si="11"/>
        <v>0</v>
      </c>
      <c r="N43" s="212"/>
      <c r="O43" s="213"/>
      <c r="P43" s="214"/>
      <c r="Q43" s="9"/>
      <c r="R43" s="212"/>
      <c r="S43" s="213"/>
      <c r="T43" s="214"/>
      <c r="U43" s="258" t="s">
        <v>232</v>
      </c>
      <c r="V43" s="259"/>
      <c r="Z43" s="44"/>
      <c r="AA43" s="306"/>
      <c r="AB43" s="306"/>
    </row>
    <row r="44" spans="1:28" ht="15" hidden="1" x14ac:dyDescent="0.25">
      <c r="A44" s="37">
        <v>304</v>
      </c>
      <c r="B44" s="248">
        <v>132700</v>
      </c>
      <c r="C44" s="191">
        <v>0.76</v>
      </c>
      <c r="D44" s="191"/>
      <c r="E44" t="s">
        <v>241</v>
      </c>
      <c r="F44" s="9"/>
      <c r="G44" s="9"/>
      <c r="H44" s="9"/>
      <c r="I44" s="9"/>
      <c r="J44" s="9"/>
      <c r="K44" s="9"/>
      <c r="L44" s="9"/>
      <c r="M44" s="9">
        <f t="shared" si="11"/>
        <v>0</v>
      </c>
      <c r="N44" s="212"/>
      <c r="O44" s="213"/>
      <c r="P44" s="214"/>
      <c r="Q44" s="9"/>
      <c r="R44" s="212"/>
      <c r="S44" s="213"/>
      <c r="T44" s="214"/>
      <c r="U44" s="258" t="s">
        <v>221</v>
      </c>
      <c r="V44" s="259"/>
      <c r="Z44" s="44"/>
      <c r="AA44" s="306"/>
      <c r="AB44" s="306"/>
    </row>
    <row r="45" spans="1:28" ht="15" hidden="1" x14ac:dyDescent="0.25">
      <c r="A45" s="37">
        <v>303</v>
      </c>
      <c r="B45" s="248">
        <v>170000</v>
      </c>
      <c r="C45" s="191">
        <v>0.74</v>
      </c>
      <c r="D45" s="191"/>
      <c r="E45" s="9" t="s">
        <v>242</v>
      </c>
      <c r="F45" s="9"/>
      <c r="G45" s="9"/>
      <c r="H45" s="9"/>
      <c r="I45" s="9"/>
      <c r="J45" s="9"/>
      <c r="K45" s="9"/>
      <c r="L45" s="9"/>
      <c r="M45" s="9">
        <f t="shared" si="11"/>
        <v>0</v>
      </c>
      <c r="N45" s="212"/>
      <c r="O45" s="213"/>
      <c r="P45" s="214"/>
      <c r="Q45" s="9"/>
      <c r="R45" s="212"/>
      <c r="S45" s="213"/>
      <c r="T45" s="214"/>
      <c r="U45" s="258" t="s">
        <v>221</v>
      </c>
      <c r="V45" s="259"/>
      <c r="Z45" s="44"/>
      <c r="AA45" s="306"/>
      <c r="AB45" s="306"/>
    </row>
    <row r="46" spans="1:28" ht="15" hidden="1" x14ac:dyDescent="0.25">
      <c r="A46" s="274">
        <v>302</v>
      </c>
      <c r="B46" s="271">
        <v>206000</v>
      </c>
      <c r="C46" s="272">
        <v>0.48</v>
      </c>
      <c r="D46" s="272"/>
      <c r="E46" s="208" t="s">
        <v>243</v>
      </c>
      <c r="F46" s="208"/>
      <c r="G46" s="208"/>
      <c r="H46" s="208"/>
      <c r="I46" s="208"/>
      <c r="J46" s="208"/>
      <c r="K46" s="208"/>
      <c r="L46" s="208"/>
      <c r="M46" s="208"/>
      <c r="N46" s="209"/>
      <c r="O46" s="210"/>
      <c r="P46" s="211"/>
      <c r="Q46" s="208"/>
      <c r="R46" s="209"/>
      <c r="S46" s="210"/>
      <c r="T46" s="211"/>
      <c r="U46" s="286" t="s">
        <v>257</v>
      </c>
      <c r="V46" s="273"/>
      <c r="Z46" s="44"/>
      <c r="AA46" s="306"/>
      <c r="AB46" s="306"/>
    </row>
    <row r="47" spans="1:28" ht="15" hidden="1" x14ac:dyDescent="0.25">
      <c r="A47" s="265">
        <v>301</v>
      </c>
      <c r="B47" s="248">
        <v>194500</v>
      </c>
      <c r="C47" s="191">
        <v>0.5</v>
      </c>
      <c r="D47" s="191"/>
      <c r="E47" t="s">
        <v>244</v>
      </c>
      <c r="F47" s="9"/>
      <c r="G47" s="9"/>
      <c r="H47" s="9"/>
      <c r="I47" s="9"/>
      <c r="J47" s="9"/>
      <c r="K47" s="9"/>
      <c r="L47" s="9"/>
      <c r="M47" s="9"/>
      <c r="N47" s="212"/>
      <c r="O47" s="213"/>
      <c r="P47" s="214"/>
      <c r="Q47" s="9"/>
      <c r="R47" s="212"/>
      <c r="S47" s="213"/>
      <c r="T47" s="214"/>
      <c r="U47" s="287" t="s">
        <v>258</v>
      </c>
      <c r="V47" s="259"/>
      <c r="Z47" s="44"/>
      <c r="AA47" s="306"/>
      <c r="AB47" s="306"/>
    </row>
    <row r="48" spans="1:28" ht="2.25" hidden="1" customHeight="1" x14ac:dyDescent="0.25">
      <c r="A48" s="37">
        <v>300</v>
      </c>
      <c r="B48" s="248">
        <v>139400</v>
      </c>
      <c r="C48" s="191">
        <v>0.75</v>
      </c>
      <c r="D48" s="191"/>
      <c r="E48" s="266" t="s">
        <v>249</v>
      </c>
      <c r="F48" s="9"/>
      <c r="G48" s="9"/>
      <c r="H48" s="9"/>
      <c r="I48" s="9"/>
      <c r="J48" s="9"/>
      <c r="K48" s="9"/>
      <c r="L48" s="9"/>
      <c r="M48" s="9"/>
      <c r="N48" s="212"/>
      <c r="O48" s="213"/>
      <c r="P48" s="214"/>
      <c r="Q48" s="9"/>
      <c r="R48" s="212"/>
      <c r="S48" s="213"/>
      <c r="T48" s="214"/>
      <c r="U48" s="285" t="s">
        <v>232</v>
      </c>
      <c r="V48" s="259"/>
      <c r="Z48" s="44"/>
      <c r="AA48" s="306"/>
      <c r="AB48" s="306"/>
    </row>
    <row r="49" spans="1:28" ht="15" hidden="1" x14ac:dyDescent="0.25">
      <c r="A49" s="37">
        <v>299</v>
      </c>
      <c r="B49" s="248">
        <v>139400</v>
      </c>
      <c r="C49" s="191">
        <v>0.75</v>
      </c>
      <c r="D49" s="191"/>
      <c r="E49" t="s">
        <v>247</v>
      </c>
      <c r="F49" s="9">
        <v>0</v>
      </c>
      <c r="G49" s="9">
        <v>2</v>
      </c>
      <c r="H49" s="9">
        <v>0</v>
      </c>
      <c r="I49" s="9">
        <v>1</v>
      </c>
      <c r="J49" s="9">
        <v>15</v>
      </c>
      <c r="K49" s="9">
        <v>0</v>
      </c>
      <c r="L49" s="9">
        <v>0</v>
      </c>
      <c r="M49" s="9">
        <f t="shared" si="11"/>
        <v>18</v>
      </c>
      <c r="N49" s="212">
        <v>8.7499999999999994E-2</v>
      </c>
      <c r="O49" s="213">
        <v>0.04</v>
      </c>
      <c r="P49" s="214">
        <v>0.1275</v>
      </c>
      <c r="Q49" s="9"/>
      <c r="R49" s="212">
        <v>0.1</v>
      </c>
      <c r="S49" s="213">
        <v>0.06</v>
      </c>
      <c r="T49" s="263">
        <f>S49+R49</f>
        <v>0.16</v>
      </c>
      <c r="U49" s="258" t="s">
        <v>232</v>
      </c>
      <c r="V49" s="259">
        <f>(B49*T49)-(B49*P49)</f>
        <v>4530.5</v>
      </c>
      <c r="Z49" s="44"/>
      <c r="AA49" s="306"/>
      <c r="AB49" s="306"/>
    </row>
    <row r="50" spans="1:28" ht="15" hidden="1" customHeight="1" x14ac:dyDescent="0.25">
      <c r="A50" s="37">
        <v>298</v>
      </c>
      <c r="B50" s="248">
        <v>139400</v>
      </c>
      <c r="C50" s="191">
        <v>0.75</v>
      </c>
      <c r="E50" t="s">
        <v>248</v>
      </c>
      <c r="F50">
        <v>0</v>
      </c>
      <c r="G50">
        <v>2</v>
      </c>
      <c r="H50">
        <v>0</v>
      </c>
      <c r="I50">
        <v>1</v>
      </c>
      <c r="J50">
        <v>15</v>
      </c>
      <c r="K50">
        <v>0</v>
      </c>
      <c r="L50">
        <v>0</v>
      </c>
      <c r="M50" s="9">
        <f t="shared" si="11"/>
        <v>18</v>
      </c>
      <c r="N50" s="212">
        <v>8.7499999999999994E-2</v>
      </c>
      <c r="O50" s="213">
        <v>0.04</v>
      </c>
      <c r="P50" s="214">
        <v>0.1275</v>
      </c>
      <c r="Q50" s="9"/>
      <c r="R50" s="212">
        <v>0.1</v>
      </c>
      <c r="S50" s="213">
        <v>0.06</v>
      </c>
      <c r="T50" s="263">
        <f>S50+R50</f>
        <v>0.16</v>
      </c>
      <c r="U50" s="258" t="s">
        <v>232</v>
      </c>
      <c r="V50" s="259">
        <f>(B50*T50)-(B50*P50)</f>
        <v>4530.5</v>
      </c>
      <c r="Z50" s="44"/>
      <c r="AA50" s="306"/>
      <c r="AB50" s="306"/>
    </row>
    <row r="51" spans="1:28" ht="15" hidden="1" x14ac:dyDescent="0.25">
      <c r="A51" s="37">
        <v>297</v>
      </c>
      <c r="B51" s="248">
        <v>139400</v>
      </c>
      <c r="C51" s="191">
        <v>0.75</v>
      </c>
      <c r="D51" s="191"/>
      <c r="E51" s="244" t="s">
        <v>250</v>
      </c>
      <c r="F51" s="9"/>
      <c r="G51" s="9"/>
      <c r="H51" s="9"/>
      <c r="I51" s="9"/>
      <c r="J51" s="9"/>
      <c r="K51" s="9"/>
      <c r="L51" s="9"/>
      <c r="M51" s="9"/>
      <c r="N51" s="212"/>
      <c r="O51" s="213"/>
      <c r="P51" s="214"/>
      <c r="Q51" s="9"/>
      <c r="R51" s="212"/>
      <c r="S51" s="213"/>
      <c r="T51" s="214"/>
      <c r="U51" s="258" t="s">
        <v>232</v>
      </c>
      <c r="V51" s="259"/>
      <c r="Z51" s="44"/>
      <c r="AA51" s="306"/>
      <c r="AB51" s="306"/>
    </row>
    <row r="52" spans="1:28" ht="15" x14ac:dyDescent="0.25">
      <c r="A52" s="37">
        <v>296</v>
      </c>
      <c r="B52" s="248">
        <v>245200</v>
      </c>
      <c r="C52" s="191">
        <v>0.65</v>
      </c>
      <c r="D52" s="191"/>
      <c r="E52" t="s">
        <v>252</v>
      </c>
      <c r="F52" s="9"/>
      <c r="G52" s="9"/>
      <c r="H52" s="9"/>
      <c r="I52" s="9"/>
      <c r="J52" s="9"/>
      <c r="K52" s="9"/>
      <c r="L52" s="9"/>
      <c r="M52" s="9"/>
      <c r="N52" s="212"/>
      <c r="O52" s="213"/>
      <c r="P52" s="214"/>
      <c r="Q52" s="9"/>
      <c r="R52" s="212"/>
      <c r="S52" s="213"/>
      <c r="T52" s="214"/>
      <c r="U52" s="258" t="s">
        <v>232</v>
      </c>
      <c r="V52" s="259"/>
      <c r="Z52" s="44"/>
      <c r="AA52" s="306"/>
      <c r="AB52" s="306"/>
    </row>
    <row r="53" spans="1:28" ht="15" x14ac:dyDescent="0.25">
      <c r="A53" s="265">
        <v>295</v>
      </c>
      <c r="B53" s="248">
        <v>873600</v>
      </c>
      <c r="C53" s="191">
        <v>0.57999999999999996</v>
      </c>
      <c r="D53" s="191"/>
      <c r="E53" t="s">
        <v>251</v>
      </c>
      <c r="F53" s="9">
        <v>6</v>
      </c>
      <c r="G53" s="9">
        <v>1</v>
      </c>
      <c r="H53" s="9">
        <v>15</v>
      </c>
      <c r="I53" s="9">
        <v>0</v>
      </c>
      <c r="J53" s="9">
        <v>15</v>
      </c>
      <c r="K53" s="9">
        <v>0</v>
      </c>
      <c r="L53" s="9">
        <v>0</v>
      </c>
      <c r="M53" s="9">
        <v>37</v>
      </c>
      <c r="N53" s="212">
        <v>9.2499999999999999E-2</v>
      </c>
      <c r="O53" s="213">
        <v>0.05</v>
      </c>
      <c r="P53" s="214">
        <v>0.14250000000000002</v>
      </c>
      <c r="Q53" s="9"/>
      <c r="R53" s="212">
        <v>0.1</v>
      </c>
      <c r="S53" s="213">
        <v>0.06</v>
      </c>
      <c r="T53" s="263">
        <f>S53+R53</f>
        <v>0.16</v>
      </c>
      <c r="U53" s="258"/>
      <c r="V53" s="259">
        <f>(B53*T53)-(B53*P53)</f>
        <v>15287.999999999985</v>
      </c>
      <c r="Z53" s="301">
        <f>AB53/AA53</f>
        <v>0.96098104793756967</v>
      </c>
      <c r="AA53" s="306">
        <v>717600</v>
      </c>
      <c r="AB53" s="306">
        <v>689600</v>
      </c>
    </row>
    <row r="54" spans="1:28" ht="15" x14ac:dyDescent="0.25">
      <c r="A54" s="37">
        <v>294</v>
      </c>
      <c r="B54" s="248">
        <v>680200</v>
      </c>
      <c r="C54" s="195">
        <v>0.61</v>
      </c>
      <c r="E54" t="s">
        <v>253</v>
      </c>
      <c r="F54">
        <v>0</v>
      </c>
      <c r="G54">
        <v>2</v>
      </c>
      <c r="H54">
        <v>0</v>
      </c>
      <c r="I54">
        <v>0</v>
      </c>
      <c r="J54">
        <v>15</v>
      </c>
      <c r="K54">
        <v>0</v>
      </c>
      <c r="L54">
        <v>0</v>
      </c>
      <c r="M54">
        <v>17</v>
      </c>
      <c r="N54" s="212">
        <v>8.7499999999999994E-2</v>
      </c>
      <c r="O54" s="213">
        <v>0.04</v>
      </c>
      <c r="P54" s="214">
        <v>0.1275</v>
      </c>
      <c r="Q54" s="9"/>
      <c r="R54" s="212">
        <v>0.1</v>
      </c>
      <c r="S54" s="213">
        <v>0.06</v>
      </c>
      <c r="T54" s="263">
        <f>S54+R54</f>
        <v>0.16</v>
      </c>
      <c r="U54" s="258" t="s">
        <v>256</v>
      </c>
      <c r="V54" s="259">
        <f>(B54*T54)-(B54*P54)</f>
        <v>22106.5</v>
      </c>
      <c r="Z54" s="44"/>
      <c r="AA54" s="306"/>
      <c r="AB54" s="306"/>
    </row>
    <row r="55" spans="1:28" ht="15" x14ac:dyDescent="0.25">
      <c r="A55" s="187">
        <v>293</v>
      </c>
      <c r="B55" s="249">
        <v>179000</v>
      </c>
      <c r="C55" s="256">
        <v>0.75</v>
      </c>
      <c r="D55" s="190"/>
      <c r="E55" s="190" t="s">
        <v>254</v>
      </c>
      <c r="F55" s="190"/>
      <c r="G55" s="190"/>
      <c r="H55" s="190"/>
      <c r="I55" s="190"/>
      <c r="J55" s="190"/>
      <c r="K55" s="190"/>
      <c r="L55" s="190"/>
      <c r="M55" s="190"/>
      <c r="N55" s="205"/>
      <c r="O55" s="206"/>
      <c r="P55" s="207"/>
      <c r="Q55" s="190"/>
      <c r="R55" s="205"/>
      <c r="S55" s="206"/>
      <c r="T55" s="207"/>
      <c r="U55" s="269" t="s">
        <v>232</v>
      </c>
      <c r="V55" s="252"/>
      <c r="Z55" s="44"/>
      <c r="AA55" s="306"/>
      <c r="AB55" s="306"/>
    </row>
    <row r="56" spans="1:28" ht="15" x14ac:dyDescent="0.25">
      <c r="A56" s="37">
        <v>292</v>
      </c>
      <c r="B56" s="248"/>
      <c r="C56" s="195"/>
      <c r="N56" s="212"/>
      <c r="O56" s="213"/>
      <c r="P56" s="214"/>
      <c r="Q56" s="9"/>
      <c r="R56" s="212"/>
      <c r="S56" s="213"/>
      <c r="T56" s="214"/>
      <c r="U56" s="258"/>
      <c r="V56" s="257"/>
      <c r="Z56" s="44"/>
      <c r="AA56" s="306"/>
      <c r="AB56" s="306"/>
    </row>
    <row r="57" spans="1:28" ht="15" x14ac:dyDescent="0.25">
      <c r="A57" s="37">
        <v>291</v>
      </c>
      <c r="B57" s="248"/>
      <c r="C57" s="195"/>
      <c r="N57" s="212"/>
      <c r="O57" s="213"/>
      <c r="P57" s="214"/>
      <c r="Q57" s="9"/>
      <c r="R57" s="212"/>
      <c r="S57" s="213"/>
      <c r="T57" s="214"/>
      <c r="U57" s="258"/>
      <c r="V57" s="257"/>
      <c r="Z57" s="44"/>
      <c r="AA57" s="306"/>
      <c r="AB57" s="306"/>
    </row>
    <row r="58" spans="1:28" ht="15" x14ac:dyDescent="0.25">
      <c r="A58" s="37">
        <v>290</v>
      </c>
      <c r="B58" s="248"/>
      <c r="C58" s="195"/>
      <c r="F58" s="190"/>
      <c r="G58" s="190"/>
      <c r="H58" s="190"/>
      <c r="I58" s="190"/>
      <c r="J58" s="190"/>
      <c r="K58" s="190"/>
      <c r="L58" s="190"/>
      <c r="M58" s="190"/>
      <c r="N58" s="205"/>
      <c r="O58" s="206"/>
      <c r="P58" s="207"/>
      <c r="Q58" s="190"/>
      <c r="R58" s="205"/>
      <c r="S58" s="206"/>
      <c r="T58" s="207"/>
      <c r="U58" s="258"/>
      <c r="V58" s="252"/>
      <c r="Z58" s="312" t="s">
        <v>275</v>
      </c>
      <c r="AA58" s="307"/>
      <c r="AB58" s="307"/>
    </row>
    <row r="59" spans="1:28" ht="15" hidden="1" x14ac:dyDescent="0.25">
      <c r="A59" s="275">
        <v>195</v>
      </c>
      <c r="B59" s="276">
        <v>476350</v>
      </c>
      <c r="C59" s="277"/>
      <c r="D59" s="278"/>
      <c r="E59" s="279" t="s">
        <v>255</v>
      </c>
      <c r="F59" s="278"/>
      <c r="G59" s="278"/>
      <c r="H59" s="278"/>
      <c r="I59" s="278"/>
      <c r="J59" s="278"/>
      <c r="K59" s="278"/>
      <c r="L59" s="278"/>
      <c r="M59" s="278"/>
      <c r="N59" s="280"/>
      <c r="O59" s="281"/>
      <c r="P59" s="282"/>
      <c r="Q59" s="278"/>
      <c r="R59" s="280"/>
      <c r="S59" s="281"/>
      <c r="T59" s="282"/>
      <c r="U59" s="283" t="s">
        <v>256</v>
      </c>
      <c r="V59" s="284"/>
      <c r="Z59" s="309"/>
      <c r="AA59" s="310"/>
      <c r="AB59" s="310"/>
    </row>
    <row r="60" spans="1:28" hidden="1" x14ac:dyDescent="0.2">
      <c r="Z60" s="309"/>
      <c r="AA60" s="310"/>
      <c r="AB60" s="310"/>
    </row>
    <row r="61" spans="1:28" ht="2.25" customHeight="1" x14ac:dyDescent="0.2">
      <c r="A61" s="288"/>
      <c r="B61" s="322" t="s">
        <v>180</v>
      </c>
      <c r="C61" s="322"/>
      <c r="D61" s="322"/>
      <c r="U61" s="129"/>
      <c r="V61" s="181" t="s">
        <v>225</v>
      </c>
      <c r="Z61" s="308"/>
      <c r="AA61" s="307"/>
      <c r="AB61" s="307"/>
    </row>
    <row r="62" spans="1:28" ht="13.5" thickBot="1" x14ac:dyDescent="0.25">
      <c r="B62" s="289" t="s">
        <v>181</v>
      </c>
      <c r="C62" s="327">
        <v>0.1275</v>
      </c>
      <c r="D62" s="327"/>
      <c r="E62" s="202" t="s">
        <v>164</v>
      </c>
      <c r="F62" s="267">
        <f t="shared" ref="F62:P62" si="13">AVERAGEIF($U$7:$U$61,"",F7:F61)</f>
        <v>2.85</v>
      </c>
      <c r="G62" s="267">
        <f t="shared" si="13"/>
        <v>3.8</v>
      </c>
      <c r="H62" s="267">
        <f t="shared" si="13"/>
        <v>1.5</v>
      </c>
      <c r="I62" s="267">
        <f t="shared" si="13"/>
        <v>1.85</v>
      </c>
      <c r="J62" s="267">
        <f t="shared" si="13"/>
        <v>14.25</v>
      </c>
      <c r="K62" s="267">
        <f t="shared" si="13"/>
        <v>-3</v>
      </c>
      <c r="L62" s="267">
        <f t="shared" si="13"/>
        <v>0</v>
      </c>
      <c r="M62" s="267">
        <f t="shared" si="13"/>
        <v>21.25</v>
      </c>
      <c r="N62" s="203">
        <f t="shared" si="13"/>
        <v>8.9999999999999983E-2</v>
      </c>
      <c r="O62" s="203">
        <f t="shared" si="13"/>
        <v>4.200000000000001E-2</v>
      </c>
      <c r="P62" s="203">
        <f t="shared" si="13"/>
        <v>0.13199999999999998</v>
      </c>
      <c r="Q62" s="203"/>
      <c r="R62" s="203">
        <f>AVERAGEIF($U$7:$U$61,"",R7:R61)</f>
        <v>9.1925000000000021E-2</v>
      </c>
      <c r="S62" s="203">
        <f>AVERAGEIF($U$7:$U$61,"",S7:S61)</f>
        <v>5.6500000000000029E-2</v>
      </c>
      <c r="T62" s="203">
        <f>AVERAGEIF($U$7:$U$61,"",T7:T61)</f>
        <v>0.14842500000000003</v>
      </c>
      <c r="U62" s="129"/>
      <c r="V62" s="250">
        <f>SUMIF(U7:U61,"",V7:V61)</f>
        <v>91414.185000000012</v>
      </c>
      <c r="W62" s="300" t="s">
        <v>277</v>
      </c>
      <c r="Z62" s="44">
        <f>AB62/AA62</f>
        <v>0.83180470460648559</v>
      </c>
      <c r="AA62" s="306">
        <f>SUM(AA7:AA58)</f>
        <v>7116727</v>
      </c>
      <c r="AB62" s="306">
        <f>SUM(AB7:AB58)</f>
        <v>5919727</v>
      </c>
    </row>
    <row r="63" spans="1:28" ht="15" x14ac:dyDescent="0.25">
      <c r="B63" s="219" t="s">
        <v>170</v>
      </c>
      <c r="C63" s="327">
        <v>0.14249999999999999</v>
      </c>
      <c r="D63" s="327"/>
      <c r="K63" s="244" t="s">
        <v>259</v>
      </c>
      <c r="V63" s="224" t="str">
        <f>IF(V62&gt;0,"Positive","Negative")</f>
        <v>Positive</v>
      </c>
    </row>
    <row r="64" spans="1:28" ht="13.5" thickBot="1" x14ac:dyDescent="0.25">
      <c r="B64" s="219" t="s">
        <v>171</v>
      </c>
      <c r="C64" s="327">
        <v>0.1875</v>
      </c>
      <c r="D64" s="327"/>
      <c r="K64" s="186"/>
      <c r="M64" s="244" t="s">
        <v>219</v>
      </c>
      <c r="N64" s="246">
        <f>N62</f>
        <v>8.9999999999999983E-2</v>
      </c>
      <c r="R64" s="245">
        <f>R62</f>
        <v>9.1925000000000021E-2</v>
      </c>
      <c r="S64" s="244" t="s">
        <v>218</v>
      </c>
      <c r="T64" s="246">
        <f>R64-N64</f>
        <v>1.9250000000000378E-3</v>
      </c>
      <c r="Z64" s="313" t="s">
        <v>276</v>
      </c>
    </row>
    <row r="65" spans="1:26" ht="13.5" thickTop="1" x14ac:dyDescent="0.2">
      <c r="B65" s="219" t="s">
        <v>172</v>
      </c>
      <c r="C65" s="327">
        <v>0.20250000000000001</v>
      </c>
      <c r="D65" s="327"/>
      <c r="K65" s="186"/>
      <c r="M65" s="244" t="s">
        <v>220</v>
      </c>
      <c r="N65" s="246">
        <f>P62</f>
        <v>0.13199999999999998</v>
      </c>
      <c r="O65" s="246"/>
      <c r="P65" s="246"/>
      <c r="Q65" s="246"/>
      <c r="R65" s="246">
        <f>T62</f>
        <v>0.14842500000000003</v>
      </c>
      <c r="S65" s="244" t="s">
        <v>218</v>
      </c>
      <c r="T65" s="246">
        <f>R65-N65</f>
        <v>1.6425000000000051E-2</v>
      </c>
      <c r="Z65" s="1">
        <f>AVERAGE(Z7:Z57)</f>
        <v>0.8868257960002317</v>
      </c>
    </row>
    <row r="67" spans="1:26" ht="15.75" thickBot="1" x14ac:dyDescent="0.3">
      <c r="E67" s="208" t="s">
        <v>166</v>
      </c>
      <c r="F67" s="208">
        <v>8</v>
      </c>
      <c r="G67" s="208">
        <v>4</v>
      </c>
      <c r="H67" s="208">
        <v>15</v>
      </c>
      <c r="I67" s="208">
        <v>4</v>
      </c>
      <c r="J67" s="208">
        <v>15</v>
      </c>
      <c r="K67" s="208">
        <v>0</v>
      </c>
      <c r="L67" s="208">
        <v>0</v>
      </c>
      <c r="M67" s="208">
        <f>SUM(F67:L67)</f>
        <v>46</v>
      </c>
      <c r="N67" s="209">
        <v>0.1275</v>
      </c>
      <c r="O67" s="210">
        <v>0.06</v>
      </c>
      <c r="P67" s="211">
        <v>0.1875</v>
      </c>
    </row>
    <row r="68" spans="1:26" ht="15.75" thickBot="1" x14ac:dyDescent="0.3">
      <c r="E68" t="s">
        <v>167</v>
      </c>
      <c r="F68">
        <v>4</v>
      </c>
      <c r="G68">
        <v>1</v>
      </c>
      <c r="H68">
        <v>0</v>
      </c>
      <c r="I68">
        <v>11</v>
      </c>
      <c r="J68">
        <v>15</v>
      </c>
      <c r="K68">
        <v>0</v>
      </c>
      <c r="L68">
        <v>0</v>
      </c>
      <c r="M68">
        <f t="shared" ref="M68:M75" si="14">SUM(F68:L68)</f>
        <v>31</v>
      </c>
      <c r="N68" s="212">
        <v>9.2499999999999999E-2</v>
      </c>
      <c r="O68" s="213">
        <v>0.05</v>
      </c>
      <c r="P68" s="214">
        <v>0.14250000000000002</v>
      </c>
      <c r="Q68" s="220"/>
      <c r="R68" s="323" t="s">
        <v>169</v>
      </c>
      <c r="S68" s="324"/>
    </row>
    <row r="69" spans="1:26" ht="15.75" thickBot="1" x14ac:dyDescent="0.3">
      <c r="E69" s="190" t="s">
        <v>168</v>
      </c>
      <c r="F69" s="190">
        <v>0</v>
      </c>
      <c r="G69" s="190">
        <v>4</v>
      </c>
      <c r="H69" s="190">
        <v>0</v>
      </c>
      <c r="I69" s="190">
        <v>3</v>
      </c>
      <c r="J69" s="190">
        <v>15</v>
      </c>
      <c r="K69" s="190">
        <v>0</v>
      </c>
      <c r="L69" s="190">
        <v>0</v>
      </c>
      <c r="M69" s="190">
        <f t="shared" si="14"/>
        <v>22</v>
      </c>
      <c r="N69" s="205">
        <v>8.7499999999999994E-2</v>
      </c>
      <c r="O69" s="206">
        <v>0.04</v>
      </c>
      <c r="P69" s="207">
        <v>0.1275</v>
      </c>
      <c r="R69" s="325"/>
      <c r="S69" s="326"/>
    </row>
    <row r="70" spans="1:26" ht="15" hidden="1" x14ac:dyDescent="0.25">
      <c r="A70" s="288"/>
      <c r="B70" s="186"/>
      <c r="D70" s="219" t="s">
        <v>179</v>
      </c>
      <c r="E70" s="217" t="s">
        <v>178</v>
      </c>
      <c r="F70" s="190">
        <v>4</v>
      </c>
      <c r="G70" s="190">
        <v>2</v>
      </c>
      <c r="H70" s="190">
        <v>5</v>
      </c>
      <c r="I70" s="190">
        <v>0</v>
      </c>
      <c r="J70" s="190">
        <v>15</v>
      </c>
      <c r="K70" s="190">
        <v>0</v>
      </c>
      <c r="L70" s="190">
        <v>20</v>
      </c>
      <c r="M70" s="190">
        <f t="shared" si="14"/>
        <v>46</v>
      </c>
      <c r="N70" s="205">
        <v>0.1275</v>
      </c>
      <c r="O70" s="206">
        <v>0.06</v>
      </c>
      <c r="P70" s="207">
        <v>0.1875</v>
      </c>
    </row>
    <row r="71" spans="1:26" ht="15" hidden="1" x14ac:dyDescent="0.25">
      <c r="E71" s="186" t="s">
        <v>173</v>
      </c>
      <c r="F71" s="216">
        <v>0</v>
      </c>
      <c r="G71">
        <v>30</v>
      </c>
      <c r="H71">
        <v>15</v>
      </c>
      <c r="I71">
        <v>4</v>
      </c>
      <c r="J71">
        <v>15</v>
      </c>
      <c r="K71">
        <v>0</v>
      </c>
      <c r="L71">
        <v>0</v>
      </c>
      <c r="M71">
        <f t="shared" si="14"/>
        <v>64</v>
      </c>
      <c r="N71" s="212">
        <v>0.13250000000000001</v>
      </c>
      <c r="O71" s="213">
        <v>7.0000000000000007E-2</v>
      </c>
      <c r="P71" s="214">
        <v>0.20250000000000001</v>
      </c>
      <c r="S71" s="215" t="s">
        <v>180</v>
      </c>
    </row>
    <row r="72" spans="1:26" ht="15" hidden="1" x14ac:dyDescent="0.25">
      <c r="E72" s="186" t="s">
        <v>174</v>
      </c>
      <c r="F72" s="216">
        <v>0</v>
      </c>
      <c r="G72">
        <v>20</v>
      </c>
      <c r="H72">
        <v>0</v>
      </c>
      <c r="I72">
        <v>4</v>
      </c>
      <c r="J72">
        <v>0</v>
      </c>
      <c r="K72">
        <v>0</v>
      </c>
      <c r="L72">
        <v>0</v>
      </c>
      <c r="M72">
        <f t="shared" si="14"/>
        <v>24</v>
      </c>
      <c r="N72" s="212">
        <v>8.7499999999999994E-2</v>
      </c>
      <c r="O72" s="213">
        <v>0.04</v>
      </c>
      <c r="P72" s="214">
        <v>0.1275</v>
      </c>
      <c r="R72" s="221" t="s">
        <v>181</v>
      </c>
      <c r="S72" s="194">
        <v>0.1275</v>
      </c>
    </row>
    <row r="73" spans="1:26" ht="15" hidden="1" x14ac:dyDescent="0.25">
      <c r="E73" s="217" t="s">
        <v>175</v>
      </c>
      <c r="F73" s="218">
        <v>0</v>
      </c>
      <c r="G73" s="190">
        <v>15</v>
      </c>
      <c r="H73" s="190">
        <v>0</v>
      </c>
      <c r="I73" s="190">
        <v>6</v>
      </c>
      <c r="J73" s="190">
        <v>15</v>
      </c>
      <c r="K73" s="190">
        <v>0</v>
      </c>
      <c r="L73" s="190">
        <v>0</v>
      </c>
      <c r="M73" s="190">
        <f t="shared" si="14"/>
        <v>36</v>
      </c>
      <c r="N73" s="205">
        <v>9.2499999999999999E-2</v>
      </c>
      <c r="O73" s="206">
        <v>0.05</v>
      </c>
      <c r="P73" s="207">
        <v>0.14250000000000002</v>
      </c>
      <c r="R73" s="186" t="s">
        <v>170</v>
      </c>
      <c r="S73" s="194">
        <v>0.14249999999999999</v>
      </c>
    </row>
    <row r="74" spans="1:26" ht="15" hidden="1" x14ac:dyDescent="0.25">
      <c r="E74" s="186" t="s">
        <v>176</v>
      </c>
      <c r="F74" s="216">
        <v>0</v>
      </c>
      <c r="G74">
        <v>25</v>
      </c>
      <c r="H74">
        <v>0</v>
      </c>
      <c r="I74">
        <v>2</v>
      </c>
      <c r="J74">
        <v>15</v>
      </c>
      <c r="K74">
        <v>0</v>
      </c>
      <c r="L74">
        <v>0</v>
      </c>
      <c r="M74">
        <f t="shared" si="14"/>
        <v>42</v>
      </c>
      <c r="N74" s="212">
        <v>0.1275</v>
      </c>
      <c r="O74" s="213">
        <v>0.06</v>
      </c>
      <c r="P74" s="214">
        <v>0.1875</v>
      </c>
      <c r="R74" s="186" t="s">
        <v>171</v>
      </c>
      <c r="S74" s="194">
        <v>0.1875</v>
      </c>
    </row>
    <row r="75" spans="1:26" ht="15" hidden="1" x14ac:dyDescent="0.25">
      <c r="E75" s="217" t="s">
        <v>177</v>
      </c>
      <c r="F75" s="218">
        <v>0</v>
      </c>
      <c r="G75" s="190">
        <v>20</v>
      </c>
      <c r="H75" s="190">
        <v>0</v>
      </c>
      <c r="I75" s="190">
        <v>0</v>
      </c>
      <c r="J75" s="190">
        <v>15</v>
      </c>
      <c r="K75" s="190">
        <v>0</v>
      </c>
      <c r="L75" s="190">
        <v>20</v>
      </c>
      <c r="M75" s="190">
        <f t="shared" si="14"/>
        <v>55</v>
      </c>
      <c r="N75" s="205">
        <v>0.1275</v>
      </c>
      <c r="O75" s="206">
        <v>0.06</v>
      </c>
      <c r="P75" s="207">
        <v>0.1875</v>
      </c>
      <c r="R75" s="186" t="s">
        <v>172</v>
      </c>
      <c r="S75" s="194">
        <v>0.20250000000000001</v>
      </c>
    </row>
    <row r="76" spans="1:26" hidden="1" x14ac:dyDescent="0.2"/>
    <row r="77" spans="1:26" hidden="1" x14ac:dyDescent="0.2"/>
    <row r="78" spans="1:26" hidden="1" x14ac:dyDescent="0.2"/>
    <row r="79" spans="1:26" hidden="1" x14ac:dyDescent="0.2"/>
    <row r="89" spans="5:13" x14ac:dyDescent="0.2">
      <c r="E89" s="1">
        <v>0.08</v>
      </c>
      <c r="F89" s="300" t="s">
        <v>270</v>
      </c>
    </row>
    <row r="90" spans="5:13" x14ac:dyDescent="0.2">
      <c r="E90" s="299">
        <v>200000</v>
      </c>
      <c r="F90" s="300" t="s">
        <v>263</v>
      </c>
      <c r="G90" s="300" t="s">
        <v>264</v>
      </c>
      <c r="I90" s="299">
        <v>200000</v>
      </c>
      <c r="J90" s="300" t="s">
        <v>265</v>
      </c>
    </row>
    <row r="94" spans="5:13" x14ac:dyDescent="0.2">
      <c r="H94" s="300" t="s">
        <v>266</v>
      </c>
      <c r="I94" s="1">
        <v>0.06</v>
      </c>
      <c r="J94" s="300" t="s">
        <v>265</v>
      </c>
    </row>
    <row r="96" spans="5:13" ht="15" x14ac:dyDescent="0.25">
      <c r="H96" s="300" t="s">
        <v>269</v>
      </c>
      <c r="I96" s="1">
        <v>0.1</v>
      </c>
      <c r="J96" s="300" t="s">
        <v>267</v>
      </c>
      <c r="K96" s="300" t="s">
        <v>268</v>
      </c>
      <c r="L96" s="301">
        <v>0.08</v>
      </c>
      <c r="M96" s="300" t="s">
        <v>265</v>
      </c>
    </row>
    <row r="98" spans="9:10" x14ac:dyDescent="0.2">
      <c r="I98">
        <v>2180</v>
      </c>
      <c r="J98" s="300" t="s">
        <v>265</v>
      </c>
    </row>
  </sheetData>
  <mergeCells count="6">
    <mergeCell ref="B61:D61"/>
    <mergeCell ref="R68:S69"/>
    <mergeCell ref="C62:D62"/>
    <mergeCell ref="C63:D63"/>
    <mergeCell ref="C64:D64"/>
    <mergeCell ref="C65:D65"/>
  </mergeCells>
  <pageMargins left="0.75" right="0.75" top="1" bottom="1" header="0.5" footer="0.5"/>
  <pageSetup paperSize="5" scale="4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Macro2FIX">
                <anchor moveWithCells="1" sizeWithCells="1">
                  <from>
                    <xdr:col>23</xdr:col>
                    <xdr:colOff>390525</xdr:colOff>
                    <xdr:row>20</xdr:row>
                    <xdr:rowOff>76200</xdr:rowOff>
                  </from>
                  <to>
                    <xdr:col>24</xdr:col>
                    <xdr:colOff>466725</xdr:colOff>
                    <xdr:row>22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36"/>
  <sheetViews>
    <sheetView zoomScaleNormal="100" workbookViewId="0">
      <selection activeCell="F44" sqref="F44"/>
    </sheetView>
  </sheetViews>
  <sheetFormatPr defaultColWidth="8.85546875" defaultRowHeight="12.75" x14ac:dyDescent="0.2"/>
  <cols>
    <col min="2" max="2" width="7.140625" customWidth="1"/>
    <col min="3" max="3" width="9.28515625" bestFit="1" customWidth="1"/>
    <col min="4" max="4" width="15.140625" bestFit="1" customWidth="1"/>
    <col min="5" max="5" width="13.28515625" customWidth="1"/>
    <col min="6" max="7" width="12.140625" bestFit="1" customWidth="1"/>
    <col min="10" max="13" width="9.140625" hidden="1" customWidth="1"/>
  </cols>
  <sheetData>
    <row r="1" spans="1:13" ht="20.25" x14ac:dyDescent="0.3">
      <c r="A1" s="49" t="s">
        <v>32</v>
      </c>
    </row>
    <row r="3" spans="1:13" ht="13.5" thickBot="1" x14ac:dyDescent="0.25">
      <c r="A3" t="s">
        <v>23</v>
      </c>
      <c r="B3" s="92">
        <v>3.5000000000000003E-2</v>
      </c>
      <c r="E3" s="5"/>
    </row>
    <row r="4" spans="1:13" ht="15" x14ac:dyDescent="0.2">
      <c r="A4" s="108" t="s">
        <v>38</v>
      </c>
      <c r="B4" s="109" t="s">
        <v>40</v>
      </c>
      <c r="C4" s="109" t="s">
        <v>39</v>
      </c>
      <c r="D4" s="110" t="s">
        <v>76</v>
      </c>
      <c r="E4" s="110" t="s">
        <v>26</v>
      </c>
      <c r="F4" s="111" t="s">
        <v>41</v>
      </c>
      <c r="K4" t="s">
        <v>21</v>
      </c>
      <c r="L4" t="s">
        <v>22</v>
      </c>
      <c r="M4" t="s">
        <v>25</v>
      </c>
    </row>
    <row r="5" spans="1:13" x14ac:dyDescent="0.2">
      <c r="A5" s="112">
        <v>1</v>
      </c>
      <c r="B5" s="12" t="s">
        <v>24</v>
      </c>
      <c r="C5" s="58">
        <v>0.04</v>
      </c>
      <c r="D5" s="62">
        <f>B$3+C5</f>
        <v>7.5000000000000011E-2</v>
      </c>
      <c r="E5" s="62">
        <f>+D5+0.75%</f>
        <v>8.2500000000000018E-2</v>
      </c>
      <c r="F5" s="113">
        <f>D5+1.5%</f>
        <v>9.0000000000000011E-2</v>
      </c>
      <c r="J5" s="58">
        <v>5.96E-2</v>
      </c>
      <c r="K5">
        <v>7.9000000000000008E-3</v>
      </c>
      <c r="L5">
        <v>0.01</v>
      </c>
      <c r="M5">
        <v>5.0000000000000001E-3</v>
      </c>
    </row>
    <row r="6" spans="1:13" x14ac:dyDescent="0.2">
      <c r="A6" s="112">
        <v>2</v>
      </c>
      <c r="B6" s="12" t="s">
        <v>24</v>
      </c>
      <c r="C6" s="58">
        <v>4.4999999999999998E-2</v>
      </c>
      <c r="D6" s="62">
        <f>B$3+C6</f>
        <v>0.08</v>
      </c>
      <c r="E6" s="62">
        <f>+D6+0.75%</f>
        <v>8.7499999999999994E-2</v>
      </c>
      <c r="F6" s="113">
        <f>D6+1.5%</f>
        <v>9.5000000000000001E-2</v>
      </c>
      <c r="J6" s="58">
        <v>6.9599999999999995E-2</v>
      </c>
    </row>
    <row r="7" spans="1:13" x14ac:dyDescent="0.2">
      <c r="A7" s="112">
        <v>3</v>
      </c>
      <c r="B7" s="12" t="s">
        <v>24</v>
      </c>
      <c r="C7" s="58">
        <v>0.05</v>
      </c>
      <c r="D7" s="62">
        <f>B$3+C7</f>
        <v>8.5000000000000006E-2</v>
      </c>
      <c r="E7" s="62">
        <f>+D7+0.75%</f>
        <v>9.2499999999999999E-2</v>
      </c>
      <c r="F7" s="113">
        <f>D7+1.5%</f>
        <v>0.1</v>
      </c>
      <c r="J7" s="58">
        <v>6.9599999999999995E-2</v>
      </c>
    </row>
    <row r="8" spans="1:13" x14ac:dyDescent="0.2">
      <c r="A8" s="112">
        <v>4</v>
      </c>
      <c r="B8" s="12" t="s">
        <v>24</v>
      </c>
      <c r="C8" s="58">
        <v>8.5000000000000006E-2</v>
      </c>
      <c r="D8" s="62">
        <f>B$3+C8</f>
        <v>0.12000000000000001</v>
      </c>
      <c r="E8" s="62">
        <f>+D8+0.75%</f>
        <v>0.1275</v>
      </c>
      <c r="F8" s="113">
        <f>D8+1.5%</f>
        <v>0.13500000000000001</v>
      </c>
      <c r="J8" s="58">
        <v>8.9599999999999999E-2</v>
      </c>
    </row>
    <row r="9" spans="1:13" ht="13.5" thickBot="1" x14ac:dyDescent="0.25">
      <c r="A9" s="114">
        <v>5</v>
      </c>
      <c r="B9" s="115" t="s">
        <v>24</v>
      </c>
      <c r="C9" s="116">
        <v>0.09</v>
      </c>
      <c r="D9" s="117">
        <f>B$3+C9</f>
        <v>0.125</v>
      </c>
      <c r="E9" s="117">
        <f>+D9+0.75%</f>
        <v>0.13250000000000001</v>
      </c>
      <c r="F9" s="118">
        <f>D9+1.5%</f>
        <v>0.14000000000000001</v>
      </c>
      <c r="J9" s="61">
        <v>9.4600000000000004E-2</v>
      </c>
    </row>
    <row r="10" spans="1:13" x14ac:dyDescent="0.2">
      <c r="A10" s="4" t="s">
        <v>27</v>
      </c>
    </row>
    <row r="11" spans="1:13" x14ac:dyDescent="0.2">
      <c r="A11" s="4" t="s">
        <v>28</v>
      </c>
    </row>
    <row r="12" spans="1:13" ht="13.5" thickBot="1" x14ac:dyDescent="0.25">
      <c r="A12" s="66" t="s">
        <v>29</v>
      </c>
    </row>
    <row r="13" spans="1:13" ht="13.5" thickTop="1" x14ac:dyDescent="0.2">
      <c r="A13" s="79" t="s">
        <v>111</v>
      </c>
      <c r="B13" s="56"/>
      <c r="C13" s="56"/>
      <c r="D13" s="80" t="s">
        <v>30</v>
      </c>
      <c r="E13" s="56"/>
      <c r="F13" s="80" t="s">
        <v>112</v>
      </c>
      <c r="G13" s="56"/>
      <c r="H13" s="81"/>
    </row>
    <row r="14" spans="1:13" x14ac:dyDescent="0.2">
      <c r="A14" s="82" t="s">
        <v>108</v>
      </c>
      <c r="B14" s="12"/>
      <c r="C14" s="12"/>
      <c r="D14" s="83" t="s">
        <v>20</v>
      </c>
      <c r="E14" s="12"/>
      <c r="F14" s="83" t="s">
        <v>7</v>
      </c>
      <c r="G14" s="12"/>
      <c r="H14" s="84"/>
    </row>
    <row r="15" spans="1:13" x14ac:dyDescent="0.2">
      <c r="A15" s="85" t="s">
        <v>110</v>
      </c>
      <c r="B15" s="12"/>
      <c r="C15" s="12"/>
      <c r="D15" s="86" t="s">
        <v>34</v>
      </c>
      <c r="E15" s="12"/>
      <c r="F15" s="86" t="s">
        <v>34</v>
      </c>
      <c r="G15" s="12"/>
      <c r="H15" s="84"/>
    </row>
    <row r="16" spans="1:13" ht="13.5" thickBot="1" x14ac:dyDescent="0.25">
      <c r="A16" s="85" t="s">
        <v>109</v>
      </c>
      <c r="B16" s="12"/>
      <c r="C16" s="12"/>
      <c r="D16" s="86" t="s">
        <v>35</v>
      </c>
      <c r="E16" s="12"/>
      <c r="F16" s="86" t="s">
        <v>36</v>
      </c>
      <c r="G16" s="12"/>
      <c r="H16" s="84"/>
    </row>
    <row r="17" spans="1:18" ht="13.5" thickBot="1" x14ac:dyDescent="0.25">
      <c r="A17" s="70"/>
      <c r="B17" s="60"/>
      <c r="C17" s="60"/>
      <c r="D17" s="89" t="s">
        <v>37</v>
      </c>
      <c r="E17" s="60"/>
      <c r="F17" s="60"/>
      <c r="G17" s="60"/>
      <c r="H17" s="87"/>
      <c r="P17" s="146" t="s">
        <v>38</v>
      </c>
      <c r="Q17" s="142">
        <f>'Risk worksheet'!J51</f>
        <v>17</v>
      </c>
    </row>
    <row r="18" spans="1:18" ht="13.5" thickTop="1" x14ac:dyDescent="0.2">
      <c r="E18" s="66"/>
      <c r="P18" s="144">
        <v>1</v>
      </c>
      <c r="Q18" s="145">
        <f>IF(Q17&lt;12,1,0)</f>
        <v>0</v>
      </c>
    </row>
    <row r="19" spans="1:18" x14ac:dyDescent="0.2">
      <c r="E19" s="66"/>
      <c r="P19" s="137">
        <v>2</v>
      </c>
      <c r="Q19" s="138">
        <f>IF(AND(Q$17&gt;11,Q$17&lt;26),2,0)</f>
        <v>2</v>
      </c>
    </row>
    <row r="20" spans="1:18" ht="13.5" thickBot="1" x14ac:dyDescent="0.25">
      <c r="A20" s="50" t="s">
        <v>38</v>
      </c>
      <c r="B20" s="10" t="s">
        <v>31</v>
      </c>
      <c r="C20" s="10"/>
      <c r="D20" s="23"/>
      <c r="E20" s="66"/>
      <c r="P20" s="137">
        <v>3</v>
      </c>
      <c r="Q20" s="138">
        <f>IF(AND(Q$17&gt;25,Q$17&lt;41),3,0)</f>
        <v>0</v>
      </c>
    </row>
    <row r="21" spans="1:18" ht="13.5" thickTop="1" x14ac:dyDescent="0.2">
      <c r="A21" s="51">
        <v>1</v>
      </c>
      <c r="B21" s="52">
        <v>0.03</v>
      </c>
      <c r="C21" s="12"/>
      <c r="D21" s="13"/>
      <c r="F21" s="55" t="s">
        <v>107</v>
      </c>
      <c r="G21" s="63" t="s">
        <v>38</v>
      </c>
      <c r="J21" s="36"/>
      <c r="P21" s="137">
        <v>4</v>
      </c>
      <c r="Q21" s="138">
        <f>IF(AND(Q$17&gt;40,Q$17&lt;61),4,0)</f>
        <v>0</v>
      </c>
    </row>
    <row r="22" spans="1:18" ht="13.5" thickBot="1" x14ac:dyDescent="0.25">
      <c r="A22" s="51">
        <v>2</v>
      </c>
      <c r="B22" s="52">
        <v>0.04</v>
      </c>
      <c r="C22" s="12"/>
      <c r="D22" s="13"/>
      <c r="F22" s="57">
        <v>1</v>
      </c>
      <c r="G22" s="64" t="s">
        <v>105</v>
      </c>
      <c r="I22" s="36"/>
      <c r="J22" s="36"/>
      <c r="P22" s="139">
        <v>5</v>
      </c>
      <c r="Q22" s="140">
        <f>IF(AND(Q$17&gt;60,Q$17&lt;76),5,0)</f>
        <v>0</v>
      </c>
    </row>
    <row r="23" spans="1:18" x14ac:dyDescent="0.2">
      <c r="A23" s="51">
        <v>3</v>
      </c>
      <c r="B23" s="52">
        <v>0.05</v>
      </c>
      <c r="C23" s="12"/>
      <c r="D23" s="13"/>
      <c r="F23" s="106">
        <v>2</v>
      </c>
      <c r="G23" s="107" t="s">
        <v>106</v>
      </c>
      <c r="H23" s="36"/>
      <c r="I23" s="328">
        <f>SUM(Q18:Q22)</f>
        <v>2</v>
      </c>
      <c r="J23" s="329"/>
      <c r="K23" s="329"/>
      <c r="L23" s="329"/>
      <c r="M23" s="329"/>
      <c r="N23" s="330"/>
    </row>
    <row r="24" spans="1:18" ht="13.5" thickBot="1" x14ac:dyDescent="0.25">
      <c r="A24" s="51">
        <v>4</v>
      </c>
      <c r="B24" s="52">
        <v>0.06</v>
      </c>
      <c r="C24" s="12"/>
      <c r="D24" s="13"/>
      <c r="F24" s="133">
        <v>3</v>
      </c>
      <c r="G24" s="134" t="s">
        <v>123</v>
      </c>
      <c r="H24" s="36"/>
      <c r="I24" s="331"/>
      <c r="J24" s="332"/>
      <c r="K24" s="332"/>
      <c r="L24" s="332"/>
      <c r="M24" s="332"/>
      <c r="N24" s="333"/>
    </row>
    <row r="25" spans="1:18" x14ac:dyDescent="0.2">
      <c r="A25" s="53">
        <v>5</v>
      </c>
      <c r="B25" s="54">
        <v>7.0000000000000007E-2</v>
      </c>
      <c r="C25" s="15"/>
      <c r="D25" s="35"/>
      <c r="F25" s="57">
        <v>4</v>
      </c>
      <c r="G25" s="64" t="s">
        <v>124</v>
      </c>
      <c r="H25" s="88" t="s">
        <v>8</v>
      </c>
      <c r="I25" s="36"/>
      <c r="J25" s="36"/>
    </row>
    <row r="26" spans="1:18" ht="13.5" thickBot="1" x14ac:dyDescent="0.25">
      <c r="F26" s="59">
        <v>5</v>
      </c>
      <c r="G26" s="65" t="s">
        <v>52</v>
      </c>
      <c r="H26" s="36"/>
      <c r="I26" s="37"/>
      <c r="J26" s="36"/>
    </row>
    <row r="27" spans="1:18" ht="14.25" thickTop="1" thickBot="1" x14ac:dyDescent="0.25">
      <c r="E27" s="3" t="s">
        <v>48</v>
      </c>
      <c r="G27" s="37"/>
      <c r="H27" s="37"/>
      <c r="I27" s="37"/>
      <c r="J27" s="36"/>
      <c r="P27" s="334" t="s">
        <v>125</v>
      </c>
      <c r="Q27" s="335"/>
      <c r="R27" s="336"/>
    </row>
    <row r="28" spans="1:18" ht="14.25" thickTop="1" thickBot="1" x14ac:dyDescent="0.25">
      <c r="D28" s="75" t="s">
        <v>9</v>
      </c>
      <c r="E28" s="56" t="s">
        <v>48</v>
      </c>
      <c r="F28" s="73"/>
      <c r="G28" s="73"/>
      <c r="H28" s="63"/>
      <c r="I28" s="37"/>
      <c r="J28" s="36"/>
      <c r="P28" s="150" t="s">
        <v>126</v>
      </c>
      <c r="Q28" s="151" t="s">
        <v>129</v>
      </c>
      <c r="R28" s="143" t="s">
        <v>130</v>
      </c>
    </row>
    <row r="29" spans="1:18" ht="13.5" thickBot="1" x14ac:dyDescent="0.25">
      <c r="D29" s="74" t="s">
        <v>4</v>
      </c>
      <c r="E29" s="76" t="s">
        <v>0</v>
      </c>
      <c r="F29" s="76" t="s">
        <v>1</v>
      </c>
      <c r="G29" s="76" t="s">
        <v>2</v>
      </c>
      <c r="H29" s="77" t="s">
        <v>3</v>
      </c>
      <c r="I29" s="37"/>
      <c r="J29" s="36"/>
      <c r="P29" s="152">
        <f>IF(I$23=1,B21,0)</f>
        <v>0</v>
      </c>
      <c r="Q29" s="141">
        <f>IF(AND('Risk worksheet'!$K$4=12,Matrix!I$23=1),Matrix!E5,0)</f>
        <v>0</v>
      </c>
      <c r="R29" s="153">
        <f>IF(AND('Risk worksheet'!$K$4=24,Matrix!I$23=1),Matrix!F5,0)</f>
        <v>0</v>
      </c>
    </row>
    <row r="30" spans="1:18" x14ac:dyDescent="0.2">
      <c r="D30" s="68" t="s">
        <v>39</v>
      </c>
      <c r="E30" s="29">
        <v>0.25</v>
      </c>
      <c r="F30" s="29">
        <v>0.5</v>
      </c>
      <c r="G30" s="29">
        <v>0.625</v>
      </c>
      <c r="H30" s="69">
        <v>0.75</v>
      </c>
      <c r="I30" s="37"/>
      <c r="J30" s="36"/>
      <c r="P30" s="152">
        <f>IF(I$23=2,B22,0)</f>
        <v>0.04</v>
      </c>
      <c r="Q30" s="141">
        <f>IF(AND('Risk worksheet'!$K$4=12,Matrix!I$23=2),Matrix!E6,0)</f>
        <v>8.7499999999999994E-2</v>
      </c>
      <c r="R30" s="153">
        <f>IF(AND('Risk worksheet'!$K$4=24,Matrix!I$23=2),Matrix!F6,0)</f>
        <v>0</v>
      </c>
    </row>
    <row r="31" spans="1:18" x14ac:dyDescent="0.2">
      <c r="A31" t="s">
        <v>5</v>
      </c>
      <c r="D31" s="68" t="s">
        <v>26</v>
      </c>
      <c r="E31" s="29">
        <v>0.125</v>
      </c>
      <c r="F31" s="29">
        <v>0.25</v>
      </c>
      <c r="G31" s="29">
        <v>0.375</v>
      </c>
      <c r="H31" s="69">
        <v>0.5</v>
      </c>
      <c r="I31" s="37"/>
      <c r="J31" s="36"/>
      <c r="P31" s="152">
        <f>IF(I$23=3,B23,0)</f>
        <v>0</v>
      </c>
      <c r="Q31" s="141">
        <f>IF(AND('Risk worksheet'!$K$4=12,Matrix!I$23=3),Matrix!E7,0)</f>
        <v>0</v>
      </c>
      <c r="R31" s="153">
        <f>IF(AND('Risk worksheet'!$K$4=24,Matrix!I$23=3),Matrix!F7,0)</f>
        <v>0</v>
      </c>
    </row>
    <row r="32" spans="1:18" ht="13.5" thickBot="1" x14ac:dyDescent="0.25">
      <c r="D32" s="70" t="s">
        <v>41</v>
      </c>
      <c r="E32" s="71">
        <v>0.125</v>
      </c>
      <c r="F32" s="71">
        <v>0.25</v>
      </c>
      <c r="G32" s="71">
        <v>0.375</v>
      </c>
      <c r="H32" s="72">
        <v>0.5</v>
      </c>
      <c r="I32" s="37"/>
      <c r="J32" s="36"/>
      <c r="P32" s="152">
        <f>IF(I$23=4,B24,0)</f>
        <v>0</v>
      </c>
      <c r="Q32" s="141">
        <f>IF(AND('Risk worksheet'!$K$4=12,Matrix!I$23=4),Matrix!E8,0)</f>
        <v>0</v>
      </c>
      <c r="R32" s="153">
        <f>IF(AND('Risk worksheet'!$K$4=24,Matrix!I$23=4),Matrix!F8,0)</f>
        <v>0</v>
      </c>
    </row>
    <row r="33" spans="1:18" ht="14.25" thickTop="1" thickBot="1" x14ac:dyDescent="0.25">
      <c r="D33" s="90" t="s">
        <v>16</v>
      </c>
      <c r="E33" s="36"/>
      <c r="F33" s="37"/>
      <c r="G33" s="37"/>
      <c r="H33" s="37"/>
      <c r="I33" s="36"/>
      <c r="J33" s="36"/>
      <c r="P33" s="154">
        <f>IF(I$23=5,B25,0)</f>
        <v>0</v>
      </c>
      <c r="Q33" s="155">
        <f>IF(AND('Risk worksheet'!$K$4=12,Matrix!I$23=5),Matrix!E9,0)</f>
        <v>0</v>
      </c>
      <c r="R33" s="156">
        <f>IF(AND('Risk worksheet'!$K$4=24,Matrix!I$23=5),Matrix!F9,0)</f>
        <v>0</v>
      </c>
    </row>
    <row r="34" spans="1:18" ht="13.5" thickBot="1" x14ac:dyDescent="0.25">
      <c r="A34" s="4" t="s">
        <v>13</v>
      </c>
      <c r="D34" s="90" t="s">
        <v>14</v>
      </c>
      <c r="E34" s="36"/>
      <c r="F34" s="36"/>
      <c r="G34" s="36"/>
      <c r="H34" s="36"/>
      <c r="I34" s="36"/>
      <c r="J34" s="36"/>
      <c r="P34" s="148">
        <f>SUM(P29:P33)</f>
        <v>0.04</v>
      </c>
      <c r="Q34" s="147">
        <f>SUM(Q29:Q33)</f>
        <v>8.7499999999999994E-2</v>
      </c>
      <c r="R34" s="149">
        <f>SUM(R29:R33)</f>
        <v>0</v>
      </c>
    </row>
    <row r="35" spans="1:18" x14ac:dyDescent="0.2">
      <c r="D35" s="90" t="s">
        <v>15</v>
      </c>
      <c r="E35" s="36"/>
      <c r="F35" s="36"/>
      <c r="G35" s="36"/>
      <c r="H35" s="36"/>
      <c r="I35" s="36"/>
    </row>
    <row r="36" spans="1:18" x14ac:dyDescent="0.2">
      <c r="E36" s="36"/>
      <c r="F36" s="36"/>
      <c r="G36" s="36"/>
      <c r="H36" s="36"/>
    </row>
  </sheetData>
  <mergeCells count="2">
    <mergeCell ref="I23:N24"/>
    <mergeCell ref="P27:R27"/>
  </mergeCells>
  <phoneticPr fontId="4" type="noConversion"/>
  <pageMargins left="0.75" right="0.75" top="1" bottom="1" header="0.5" footer="0.5"/>
  <pageSetup orientation="landscape"/>
  <headerFooter alignWithMargins="0"/>
  <cellWatches>
    <cellWatch r="F21"/>
  </cellWatch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Risk worksheet</vt:lpstr>
      <vt:lpstr>Loan Analysis</vt:lpstr>
      <vt:lpstr>Portfolio Report</vt:lpstr>
      <vt:lpstr>Matrix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 Weatherhead</cp:lastModifiedBy>
  <cp:lastPrinted>2017-03-13T18:56:02Z</cp:lastPrinted>
  <dcterms:created xsi:type="dcterms:W3CDTF">2008-08-19T22:07:13Z</dcterms:created>
  <dcterms:modified xsi:type="dcterms:W3CDTF">2017-03-30T16:59:43Z</dcterms:modified>
</cp:coreProperties>
</file>